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DA Main Folder\DDA Internal Operations Folder\DDA Financial\Budget Hearing &amp; Millage Folder\2026-2027 Budget and Budget Hearing &amp; Millage\"/>
    </mc:Choice>
  </mc:AlternateContent>
  <xr:revisionPtr revIDLastSave="0" documentId="8_{E29B2F88-5C7C-406B-9FD1-01A08C374BC2}" xr6:coauthVersionLast="47" xr6:coauthVersionMax="47" xr10:uidLastSave="{00000000-0000-0000-0000-000000000000}"/>
  <bookViews>
    <workbookView xWindow="-108" yWindow="-108" windowWidth="23256" windowHeight="12576" tabRatio="783" xr2:uid="{00000000-000D-0000-FFFF-FFFF00000000}"/>
  </bookViews>
  <sheets>
    <sheet name="Top Line Rep" sheetId="8" r:id="rId1"/>
    <sheet name="A- Summary Inc_Ex" sheetId="1" r:id="rId2"/>
    <sheet name="B- Marketing &amp; Adverts" sheetId="2" r:id="rId3"/>
    <sheet name="C- Economic Vitality" sheetId="3" r:id="rId4"/>
    <sheet name="D-Placemaking " sheetId="4" r:id="rId5"/>
    <sheet name="DB OSS" sheetId="5" r:id="rId6"/>
    <sheet name="Cash Flow" sheetId="13" r:id="rId7"/>
    <sheet name="ProgramEventSummary" sheetId="11" r:id="rId8"/>
    <sheet name="ProgramEventDetail" sheetId="12" state="hidden" r:id="rId9"/>
    <sheet name="MapFy2024_25" sheetId="10" state="hidden" r:id="rId10"/>
    <sheet name="MapFy2025_26" sheetId="14" state="hidden" r:id="rId11"/>
    <sheet name="Payroll Ref" sheetId="7" state="hidden" r:id="rId12"/>
  </sheets>
  <definedNames>
    <definedName name="_xlnm._FilterDatabase" localSheetId="9" hidden="1">MapFy2024_25!$A$1:$E$159</definedName>
    <definedName name="_xlnm._FilterDatabase" localSheetId="10" hidden="1">MapFy2025_26!$A$1:$I$151</definedName>
    <definedName name="_xlnm.Print_Area" localSheetId="1">'A- Summary Inc_Ex'!$A$1:$T$66</definedName>
    <definedName name="_xlnm.Print_Area" localSheetId="2">'B- Marketing &amp; Adverts'!$A$1:$N$29</definedName>
    <definedName name="_xlnm.Print_Area" localSheetId="4">'D-Placemaking '!$A$1:$O$13</definedName>
    <definedName name="_xlnm.Print_Area" localSheetId="7">ProgramEventSummary!$A$1:$D$38</definedName>
    <definedName name="_xlnm.Print_Area" localSheetId="0">'Top Line Rep'!$A$1:$K$39</definedName>
    <definedName name="_xlnm.Print_Titles" localSheetId="1">'A- Summary Inc_Ex'!$1:$3</definedName>
    <definedName name="_xlnm.Print_Titles" localSheetId="5">'DB OSS'!$1:$3</definedName>
    <definedName name="_xlnm.Print_Titles" localSheetId="0">'Top Line Rep'!$1:$3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" i="5" l="1"/>
  <c r="N3" i="4"/>
  <c r="O3" i="3"/>
  <c r="M3" i="2"/>
  <c r="S3" i="1"/>
  <c r="K8" i="8"/>
  <c r="K6" i="8"/>
  <c r="T56" i="5" l="1"/>
  <c r="T60" i="5"/>
  <c r="T49" i="5"/>
  <c r="T44" i="5"/>
  <c r="T38" i="5"/>
  <c r="T30" i="5"/>
  <c r="T29" i="5"/>
  <c r="T22" i="5"/>
  <c r="T13" i="5"/>
  <c r="T62" i="5" l="1"/>
  <c r="T63" i="5" s="1"/>
  <c r="S60" i="5" l="1"/>
  <c r="S56" i="5"/>
  <c r="S52" i="5"/>
  <c r="S49" i="5"/>
  <c r="S44" i="5"/>
  <c r="S38" i="5"/>
  <c r="S29" i="5"/>
  <c r="S22" i="5"/>
  <c r="S13" i="5"/>
  <c r="S66" i="5" s="1"/>
  <c r="K29" i="8"/>
  <c r="K19" i="8"/>
  <c r="N13" i="4"/>
  <c r="S30" i="1" s="1"/>
  <c r="K17" i="8" s="1"/>
  <c r="O12" i="3"/>
  <c r="S29" i="1" s="1"/>
  <c r="K15" i="8" s="1"/>
  <c r="M28" i="2"/>
  <c r="M24" i="2"/>
  <c r="M17" i="2"/>
  <c r="M13" i="2"/>
  <c r="M10" i="2"/>
  <c r="M7" i="2"/>
  <c r="S79" i="1"/>
  <c r="S57" i="1"/>
  <c r="K27" i="8" s="1"/>
  <c r="S51" i="1"/>
  <c r="T51" i="1" s="1"/>
  <c r="S42" i="1"/>
  <c r="T42" i="1" s="1"/>
  <c r="S14" i="1"/>
  <c r="S8" i="1"/>
  <c r="K10" i="8"/>
  <c r="K25" i="8" l="1"/>
  <c r="K23" i="8"/>
  <c r="S74" i="1"/>
  <c r="S62" i="5"/>
  <c r="S30" i="5"/>
  <c r="S80" i="1"/>
  <c r="S59" i="1"/>
  <c r="M18" i="2"/>
  <c r="M27" i="2" s="1"/>
  <c r="S18" i="1"/>
  <c r="S61" i="1" l="1"/>
  <c r="S70" i="1" s="1"/>
  <c r="S67" i="5"/>
  <c r="S81" i="1" s="1"/>
  <c r="S63" i="5"/>
  <c r="S75" i="1"/>
  <c r="S76" i="1" s="1"/>
  <c r="M29" i="2"/>
  <c r="S27" i="1"/>
  <c r="S28" i="1" s="1"/>
  <c r="K31" i="8"/>
  <c r="K33" i="8"/>
  <c r="H3" i="8"/>
  <c r="P55" i="5"/>
  <c r="Q58" i="5"/>
  <c r="Q59" i="5"/>
  <c r="P59" i="5"/>
  <c r="P58" i="5"/>
  <c r="Q54" i="5"/>
  <c r="P54" i="5"/>
  <c r="Q46" i="5"/>
  <c r="Q48" i="5"/>
  <c r="P46" i="5"/>
  <c r="P47" i="5"/>
  <c r="P48" i="5"/>
  <c r="Q42" i="5"/>
  <c r="Q43" i="5"/>
  <c r="P42" i="5"/>
  <c r="P43" i="5"/>
  <c r="Q40" i="5"/>
  <c r="P40" i="5"/>
  <c r="Q32" i="5"/>
  <c r="Q33" i="5"/>
  <c r="Q34" i="5"/>
  <c r="Q35" i="5"/>
  <c r="Q36" i="5"/>
  <c r="Q37" i="5"/>
  <c r="P32" i="5"/>
  <c r="P33" i="5"/>
  <c r="P34" i="5"/>
  <c r="P35" i="5"/>
  <c r="P36" i="5"/>
  <c r="P37" i="5"/>
  <c r="Q25" i="5"/>
  <c r="Q26" i="5"/>
  <c r="Q27" i="5"/>
  <c r="Q28" i="5"/>
  <c r="Q24" i="5"/>
  <c r="P24" i="5"/>
  <c r="P25" i="5"/>
  <c r="P26" i="5"/>
  <c r="P27" i="5"/>
  <c r="P28" i="5"/>
  <c r="Q18" i="5"/>
  <c r="Q19" i="5"/>
  <c r="Q20" i="5"/>
  <c r="Q21" i="5"/>
  <c r="P18" i="5"/>
  <c r="P19" i="5"/>
  <c r="P20" i="5"/>
  <c r="P21" i="5"/>
  <c r="Q17" i="5"/>
  <c r="P17" i="5"/>
  <c r="Q11" i="5"/>
  <c r="P11" i="5"/>
  <c r="Q6" i="5"/>
  <c r="Q7" i="5"/>
  <c r="Q8" i="5"/>
  <c r="Q9" i="5"/>
  <c r="Q10" i="5"/>
  <c r="Q5" i="5"/>
  <c r="P6" i="5"/>
  <c r="P7" i="5"/>
  <c r="P8" i="5"/>
  <c r="P9" i="5"/>
  <c r="P10" i="5"/>
  <c r="P5" i="5"/>
  <c r="Q3" i="5"/>
  <c r="P3" i="5"/>
  <c r="L6" i="4"/>
  <c r="L7" i="4"/>
  <c r="L8" i="4"/>
  <c r="L9" i="4"/>
  <c r="L10" i="4"/>
  <c r="L11" i="4"/>
  <c r="L13" i="4"/>
  <c r="K6" i="4"/>
  <c r="K7" i="4"/>
  <c r="K8" i="4"/>
  <c r="K9" i="4"/>
  <c r="K10" i="4"/>
  <c r="K11" i="4"/>
  <c r="K12" i="4"/>
  <c r="K13" i="4"/>
  <c r="L5" i="4"/>
  <c r="K5" i="4"/>
  <c r="L3" i="4"/>
  <c r="K3" i="4"/>
  <c r="M6" i="3"/>
  <c r="M7" i="3"/>
  <c r="M8" i="3"/>
  <c r="M9" i="3"/>
  <c r="M11" i="3"/>
  <c r="M12" i="3"/>
  <c r="L6" i="3"/>
  <c r="L7" i="3"/>
  <c r="L8" i="3"/>
  <c r="L9" i="3"/>
  <c r="L11" i="3"/>
  <c r="L12" i="3"/>
  <c r="M5" i="3"/>
  <c r="L5" i="3"/>
  <c r="L25" i="2"/>
  <c r="K25" i="2"/>
  <c r="L22" i="2"/>
  <c r="L23" i="2"/>
  <c r="L20" i="2"/>
  <c r="L16" i="2"/>
  <c r="L15" i="2"/>
  <c r="L12" i="2"/>
  <c r="L9" i="2"/>
  <c r="L6" i="2"/>
  <c r="L5" i="2"/>
  <c r="K6" i="2"/>
  <c r="K9" i="2"/>
  <c r="K12" i="2"/>
  <c r="K15" i="2"/>
  <c r="K16" i="2"/>
  <c r="K20" i="2"/>
  <c r="K22" i="2"/>
  <c r="K23" i="2"/>
  <c r="K5" i="2"/>
  <c r="L3" i="2"/>
  <c r="M3" i="3" s="1"/>
  <c r="K3" i="2"/>
  <c r="L3" i="3" s="1"/>
  <c r="P45" i="1"/>
  <c r="P46" i="1"/>
  <c r="P51" i="1"/>
  <c r="Q59" i="1"/>
  <c r="P57" i="1"/>
  <c r="P59" i="1"/>
  <c r="P61" i="1"/>
  <c r="Q56" i="1"/>
  <c r="Q57" i="1"/>
  <c r="Q58" i="1"/>
  <c r="Q61" i="1"/>
  <c r="P54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37" i="1"/>
  <c r="Q38" i="1"/>
  <c r="Q39" i="1"/>
  <c r="Q40" i="1"/>
  <c r="Q41" i="1"/>
  <c r="P37" i="1"/>
  <c r="P38" i="1"/>
  <c r="P39" i="1"/>
  <c r="P40" i="1"/>
  <c r="P41" i="1"/>
  <c r="Q33" i="1"/>
  <c r="P31" i="1"/>
  <c r="P33" i="1"/>
  <c r="P34" i="1"/>
  <c r="Q23" i="1"/>
  <c r="Q24" i="1"/>
  <c r="Q25" i="1"/>
  <c r="Q26" i="1"/>
  <c r="Q22" i="1"/>
  <c r="Q8" i="1"/>
  <c r="Q10" i="1"/>
  <c r="Q11" i="1"/>
  <c r="Q12" i="1"/>
  <c r="Q14" i="1"/>
  <c r="Q18" i="1"/>
  <c r="Q6" i="1"/>
  <c r="P23" i="1"/>
  <c r="P24" i="1"/>
  <c r="P25" i="1"/>
  <c r="P26" i="1"/>
  <c r="P22" i="1"/>
  <c r="P18" i="1"/>
  <c r="P9" i="1"/>
  <c r="P10" i="1"/>
  <c r="P11" i="1"/>
  <c r="P12" i="1"/>
  <c r="P13" i="1"/>
  <c r="P14" i="1"/>
  <c r="P8" i="1"/>
  <c r="P7" i="1"/>
  <c r="P6" i="1"/>
  <c r="Q3" i="1"/>
  <c r="P3" i="1"/>
  <c r="S32" i="1" l="1"/>
  <c r="S35" i="1" s="1"/>
  <c r="K13" i="8"/>
  <c r="K21" i="8" s="1"/>
  <c r="K34" i="8" s="1"/>
  <c r="K39" i="8" s="1"/>
  <c r="S68" i="5"/>
  <c r="S82" i="1" s="1"/>
  <c r="H19" i="8"/>
  <c r="K12" i="3"/>
  <c r="O29" i="1" s="1"/>
  <c r="O79" i="1"/>
  <c r="O57" i="1"/>
  <c r="H27" i="8" s="1"/>
  <c r="O51" i="1"/>
  <c r="H25" i="8" s="1"/>
  <c r="O42" i="1"/>
  <c r="H23" i="8" s="1"/>
  <c r="O14" i="1"/>
  <c r="H8" i="8" s="1"/>
  <c r="O8" i="1"/>
  <c r="J28" i="2"/>
  <c r="J24" i="2"/>
  <c r="J17" i="2"/>
  <c r="J13" i="2"/>
  <c r="J10" i="2"/>
  <c r="J7" i="2"/>
  <c r="J13" i="4"/>
  <c r="O30" i="1" s="1"/>
  <c r="O60" i="5"/>
  <c r="O56" i="5"/>
  <c r="O52" i="5"/>
  <c r="O49" i="5"/>
  <c r="O44" i="5"/>
  <c r="O38" i="5"/>
  <c r="O29" i="5"/>
  <c r="O22" i="5"/>
  <c r="O13" i="5"/>
  <c r="E6" i="13"/>
  <c r="M79" i="1"/>
  <c r="L79" i="1"/>
  <c r="K79" i="1"/>
  <c r="S62" i="1" l="1"/>
  <c r="T35" i="1"/>
  <c r="O66" i="5"/>
  <c r="O80" i="1" s="1"/>
  <c r="H17" i="8"/>
  <c r="P30" i="1"/>
  <c r="Q30" i="1"/>
  <c r="P29" i="1"/>
  <c r="Q29" i="1"/>
  <c r="H15" i="8"/>
  <c r="H6" i="8"/>
  <c r="H10" i="8" s="1"/>
  <c r="H33" i="8" s="1"/>
  <c r="H31" i="8"/>
  <c r="J18" i="2"/>
  <c r="J27" i="2" s="1"/>
  <c r="O18" i="1"/>
  <c r="O61" i="1" s="1"/>
  <c r="O70" i="1" s="1"/>
  <c r="O74" i="1"/>
  <c r="O59" i="1"/>
  <c r="O62" i="5"/>
  <c r="O30" i="5"/>
  <c r="J147" i="14"/>
  <c r="F147" i="14"/>
  <c r="D22" i="11"/>
  <c r="D4" i="11"/>
  <c r="H21" i="2"/>
  <c r="H13" i="1"/>
  <c r="H7" i="1"/>
  <c r="H34" i="1"/>
  <c r="B2" i="8"/>
  <c r="S66" i="1" l="1"/>
  <c r="S71" i="1"/>
  <c r="S72" i="1" s="1"/>
  <c r="U62" i="5"/>
  <c r="O27" i="1"/>
  <c r="O28" i="1" s="1"/>
  <c r="J29" i="2"/>
  <c r="O67" i="5"/>
  <c r="O75" i="1"/>
  <c r="O76" i="1" s="1"/>
  <c r="O63" i="5"/>
  <c r="F43" i="8"/>
  <c r="D43" i="8"/>
  <c r="F36" i="8"/>
  <c r="D36" i="8"/>
  <c r="G4" i="13"/>
  <c r="F4" i="13"/>
  <c r="D6" i="13"/>
  <c r="C79" i="1"/>
  <c r="D14" i="13" s="1"/>
  <c r="J20" i="14"/>
  <c r="J21" i="14"/>
  <c r="J22" i="14"/>
  <c r="J57" i="14"/>
  <c r="J89" i="14"/>
  <c r="J92" i="14"/>
  <c r="J96" i="14"/>
  <c r="J108" i="14"/>
  <c r="F108" i="14"/>
  <c r="F96" i="14"/>
  <c r="F92" i="14"/>
  <c r="F89" i="14"/>
  <c r="F57" i="14"/>
  <c r="F22" i="14"/>
  <c r="F21" i="14"/>
  <c r="F20" i="14"/>
  <c r="D2" i="11"/>
  <c r="C2" i="4"/>
  <c r="C2" i="3"/>
  <c r="L73" i="1"/>
  <c r="K73" i="1"/>
  <c r="G69" i="1"/>
  <c r="H26" i="2"/>
  <c r="H23" i="2"/>
  <c r="G12" i="4"/>
  <c r="H12" i="4" s="1"/>
  <c r="B46" i="8" l="1"/>
  <c r="H13" i="8"/>
  <c r="O32" i="1"/>
  <c r="T32" i="1" s="1"/>
  <c r="O68" i="5"/>
  <c r="O82" i="1" s="1"/>
  <c r="O81" i="1"/>
  <c r="E13" i="4"/>
  <c r="E3" i="4"/>
  <c r="E120" i="14"/>
  <c r="D120" i="14"/>
  <c r="E119" i="14"/>
  <c r="D119" i="14"/>
  <c r="E118" i="14"/>
  <c r="D118" i="14"/>
  <c r="E117" i="14"/>
  <c r="J142" i="14" s="1"/>
  <c r="D117" i="14"/>
  <c r="F142" i="14" s="1"/>
  <c r="E116" i="14"/>
  <c r="D116" i="14"/>
  <c r="F144" i="14" s="1"/>
  <c r="E115" i="14"/>
  <c r="D115" i="14"/>
  <c r="E114" i="14"/>
  <c r="D114" i="14"/>
  <c r="E113" i="14"/>
  <c r="D113" i="14"/>
  <c r="E112" i="14"/>
  <c r="D112" i="14"/>
  <c r="E111" i="14"/>
  <c r="D111" i="14"/>
  <c r="E110" i="14"/>
  <c r="D110" i="14"/>
  <c r="E109" i="14"/>
  <c r="D109" i="14"/>
  <c r="E108" i="14"/>
  <c r="D108" i="14"/>
  <c r="E107" i="14"/>
  <c r="D107" i="14"/>
  <c r="E106" i="14"/>
  <c r="D106" i="14"/>
  <c r="E105" i="14"/>
  <c r="D105" i="14"/>
  <c r="E104" i="14"/>
  <c r="D104" i="14"/>
  <c r="E103" i="14"/>
  <c r="D103" i="14"/>
  <c r="E102" i="14"/>
  <c r="D102" i="14"/>
  <c r="E101" i="14"/>
  <c r="D101" i="14"/>
  <c r="E100" i="14"/>
  <c r="D100" i="14"/>
  <c r="E99" i="14"/>
  <c r="D99" i="14"/>
  <c r="E98" i="14"/>
  <c r="D98" i="14"/>
  <c r="E97" i="14"/>
  <c r="F9" i="4" s="1"/>
  <c r="D97" i="14"/>
  <c r="G9" i="4" s="1"/>
  <c r="H9" i="4" s="1"/>
  <c r="E96" i="14"/>
  <c r="D96" i="14"/>
  <c r="E95" i="14"/>
  <c r="D95" i="14"/>
  <c r="F127" i="14" s="1"/>
  <c r="E94" i="14"/>
  <c r="D94" i="14"/>
  <c r="E93" i="14"/>
  <c r="D93" i="14"/>
  <c r="E92" i="14"/>
  <c r="D92" i="14"/>
  <c r="E91" i="14"/>
  <c r="F26" i="1" s="1"/>
  <c r="D91" i="14"/>
  <c r="G26" i="1" s="1"/>
  <c r="H26" i="1" s="1"/>
  <c r="E90" i="14"/>
  <c r="F22" i="1" s="1"/>
  <c r="D90" i="14"/>
  <c r="G22" i="1" s="1"/>
  <c r="H22" i="1" s="1"/>
  <c r="E89" i="14"/>
  <c r="D89" i="14"/>
  <c r="E88" i="14"/>
  <c r="F22" i="2" s="1"/>
  <c r="D88" i="14"/>
  <c r="G22" i="2" s="1"/>
  <c r="H22" i="2" s="1"/>
  <c r="E87" i="14"/>
  <c r="D87" i="14"/>
  <c r="E86" i="14"/>
  <c r="F20" i="2" s="1"/>
  <c r="D86" i="14"/>
  <c r="G20" i="2" s="1"/>
  <c r="H20" i="2" s="1"/>
  <c r="E85" i="14"/>
  <c r="F21" i="2" s="1"/>
  <c r="D85" i="14"/>
  <c r="G21" i="2" s="1"/>
  <c r="E84" i="14"/>
  <c r="D84" i="14"/>
  <c r="E83" i="14"/>
  <c r="J101" i="14" s="1"/>
  <c r="D83" i="14"/>
  <c r="F101" i="14" s="1"/>
  <c r="E82" i="14"/>
  <c r="D82" i="14"/>
  <c r="F100" i="14" s="1"/>
  <c r="E81" i="14"/>
  <c r="D81" i="14"/>
  <c r="F99" i="14" s="1"/>
  <c r="E80" i="14"/>
  <c r="F16" i="2" s="1"/>
  <c r="D80" i="14"/>
  <c r="G16" i="2" s="1"/>
  <c r="H16" i="2" s="1"/>
  <c r="E79" i="14"/>
  <c r="F15" i="2" s="1"/>
  <c r="D79" i="14"/>
  <c r="G15" i="2" s="1"/>
  <c r="H15" i="2" s="1"/>
  <c r="E78" i="14"/>
  <c r="D78" i="14"/>
  <c r="E77" i="14"/>
  <c r="D77" i="14"/>
  <c r="E76" i="14"/>
  <c r="J93" i="14" s="1"/>
  <c r="D76" i="14"/>
  <c r="F93" i="14" s="1"/>
  <c r="E75" i="14"/>
  <c r="F34" i="1" s="1"/>
  <c r="D75" i="14"/>
  <c r="G34" i="1" s="1"/>
  <c r="E74" i="14"/>
  <c r="D74" i="14"/>
  <c r="E73" i="14"/>
  <c r="D73" i="14"/>
  <c r="E72" i="14"/>
  <c r="D72" i="14"/>
  <c r="E71" i="14"/>
  <c r="D71" i="14"/>
  <c r="E70" i="14"/>
  <c r="D70" i="14"/>
  <c r="E69" i="14"/>
  <c r="D69" i="14"/>
  <c r="E68" i="14"/>
  <c r="D68" i="14"/>
  <c r="E67" i="14"/>
  <c r="J87" i="14" s="1"/>
  <c r="D67" i="14"/>
  <c r="F87" i="14" s="1"/>
  <c r="E66" i="14"/>
  <c r="J86" i="14" s="1"/>
  <c r="D66" i="14"/>
  <c r="F86" i="14" s="1"/>
  <c r="E65" i="14"/>
  <c r="D65" i="14"/>
  <c r="E64" i="14"/>
  <c r="D64" i="14"/>
  <c r="E63" i="14"/>
  <c r="D63" i="14"/>
  <c r="E62" i="14"/>
  <c r="F25" i="5" s="1"/>
  <c r="D62" i="14"/>
  <c r="G25" i="5" s="1"/>
  <c r="H25" i="5" s="1"/>
  <c r="E61" i="14"/>
  <c r="F24" i="5" s="1"/>
  <c r="D61" i="14"/>
  <c r="G24" i="5" s="1"/>
  <c r="H24" i="5" s="1"/>
  <c r="E60" i="14"/>
  <c r="F47" i="5" s="1"/>
  <c r="D60" i="14"/>
  <c r="G47" i="5" s="1"/>
  <c r="H47" i="5" s="1"/>
  <c r="E59" i="14"/>
  <c r="D59" i="14"/>
  <c r="E58" i="14"/>
  <c r="F41" i="5" s="1"/>
  <c r="D58" i="14"/>
  <c r="G41" i="5" s="1"/>
  <c r="E57" i="14"/>
  <c r="D57" i="14"/>
  <c r="E56" i="14"/>
  <c r="D56" i="14"/>
  <c r="E55" i="14"/>
  <c r="D55" i="14"/>
  <c r="E54" i="14"/>
  <c r="D54" i="14"/>
  <c r="E53" i="14"/>
  <c r="D53" i="14"/>
  <c r="E52" i="14"/>
  <c r="D52" i="14"/>
  <c r="E51" i="14"/>
  <c r="D51" i="14"/>
  <c r="E50" i="14"/>
  <c r="F20" i="5" s="1"/>
  <c r="D50" i="14"/>
  <c r="G20" i="5" s="1"/>
  <c r="H20" i="5" s="1"/>
  <c r="E49" i="14"/>
  <c r="D49" i="14"/>
  <c r="E48" i="14"/>
  <c r="D48" i="14"/>
  <c r="E47" i="14"/>
  <c r="D47" i="14"/>
  <c r="E46" i="14"/>
  <c r="D46" i="14"/>
  <c r="E45" i="14"/>
  <c r="D45" i="14"/>
  <c r="E44" i="14"/>
  <c r="D44" i="14"/>
  <c r="E43" i="14"/>
  <c r="F28" i="5" s="1"/>
  <c r="D43" i="14"/>
  <c r="G28" i="5" s="1"/>
  <c r="H28" i="5" s="1"/>
  <c r="E42" i="14"/>
  <c r="D42" i="14"/>
  <c r="E41" i="14"/>
  <c r="J54" i="14" s="1"/>
  <c r="D41" i="14"/>
  <c r="F54" i="14" s="1"/>
  <c r="E40" i="14"/>
  <c r="J55" i="14" s="1"/>
  <c r="D40" i="14"/>
  <c r="F55" i="14" s="1"/>
  <c r="E39" i="14"/>
  <c r="D39" i="14"/>
  <c r="E38" i="14"/>
  <c r="J49" i="14" s="1"/>
  <c r="D38" i="14"/>
  <c r="F49" i="14" s="1"/>
  <c r="E37" i="14"/>
  <c r="D37" i="14"/>
  <c r="E36" i="14"/>
  <c r="D36" i="14"/>
  <c r="E35" i="14"/>
  <c r="D35" i="14"/>
  <c r="E34" i="14"/>
  <c r="D34" i="14"/>
  <c r="E33" i="14"/>
  <c r="D33" i="14"/>
  <c r="E32" i="14"/>
  <c r="D32" i="14"/>
  <c r="E31" i="14"/>
  <c r="D31" i="14"/>
  <c r="E30" i="14"/>
  <c r="D30" i="14"/>
  <c r="E29" i="14"/>
  <c r="D29" i="14"/>
  <c r="E28" i="14"/>
  <c r="D28" i="14"/>
  <c r="E27" i="14"/>
  <c r="D27" i="14"/>
  <c r="E26" i="14"/>
  <c r="D26" i="14"/>
  <c r="E25" i="14"/>
  <c r="D25" i="14"/>
  <c r="E24" i="14"/>
  <c r="D24" i="14"/>
  <c r="E23" i="14"/>
  <c r="D23" i="14"/>
  <c r="E22" i="14"/>
  <c r="D22" i="14"/>
  <c r="E21" i="14"/>
  <c r="D21" i="14"/>
  <c r="G65" i="1" s="1"/>
  <c r="F38" i="8" s="1"/>
  <c r="E20" i="14"/>
  <c r="D20" i="14"/>
  <c r="E19" i="14"/>
  <c r="D19" i="14"/>
  <c r="F23" i="14" s="1"/>
  <c r="E18" i="14"/>
  <c r="F13" i="1" s="1"/>
  <c r="D18" i="14"/>
  <c r="G13" i="1" s="1"/>
  <c r="E17" i="14"/>
  <c r="D17" i="14"/>
  <c r="E16" i="14"/>
  <c r="D16" i="14"/>
  <c r="E15" i="14"/>
  <c r="D15" i="14"/>
  <c r="E14" i="14"/>
  <c r="D14" i="14"/>
  <c r="E13" i="14"/>
  <c r="F65" i="5" s="1"/>
  <c r="D13" i="14"/>
  <c r="E12" i="14"/>
  <c r="D12" i="14"/>
  <c r="E11" i="14"/>
  <c r="D11" i="14"/>
  <c r="E10" i="14"/>
  <c r="D10" i="14"/>
  <c r="E9" i="14"/>
  <c r="F7" i="5" s="1"/>
  <c r="D9" i="14"/>
  <c r="G7" i="5" s="1"/>
  <c r="H7" i="5" s="1"/>
  <c r="E8" i="14"/>
  <c r="D8" i="14"/>
  <c r="E7" i="14"/>
  <c r="F5" i="5" s="1"/>
  <c r="D7" i="14"/>
  <c r="G5" i="5" s="1"/>
  <c r="H5" i="5" s="1"/>
  <c r="E6" i="14"/>
  <c r="D6" i="14"/>
  <c r="E5" i="14"/>
  <c r="J4" i="14" s="1"/>
  <c r="D5" i="14"/>
  <c r="E4" i="14"/>
  <c r="D4" i="14"/>
  <c r="E3" i="14"/>
  <c r="D3" i="14"/>
  <c r="E79" i="1"/>
  <c r="D38" i="8"/>
  <c r="D29" i="8"/>
  <c r="D17" i="8"/>
  <c r="D19" i="8"/>
  <c r="D15" i="8"/>
  <c r="F3" i="8"/>
  <c r="D3" i="8"/>
  <c r="H4" i="13"/>
  <c r="E60" i="5"/>
  <c r="E56" i="5"/>
  <c r="E52" i="5"/>
  <c r="E49" i="5"/>
  <c r="E44" i="5"/>
  <c r="E38" i="5"/>
  <c r="E29" i="5"/>
  <c r="E22" i="5"/>
  <c r="E13" i="5"/>
  <c r="E3" i="5"/>
  <c r="G3" i="5"/>
  <c r="G3" i="4"/>
  <c r="E12" i="3"/>
  <c r="G3" i="3"/>
  <c r="E3" i="3"/>
  <c r="E24" i="2"/>
  <c r="E17" i="2"/>
  <c r="E13" i="2"/>
  <c r="E10" i="2"/>
  <c r="E7" i="2"/>
  <c r="G3" i="2"/>
  <c r="C3" i="2"/>
  <c r="E3" i="2"/>
  <c r="E57" i="1"/>
  <c r="D27" i="8" s="1"/>
  <c r="E51" i="1"/>
  <c r="D25" i="8" s="1"/>
  <c r="E42" i="1"/>
  <c r="D23" i="8" s="1"/>
  <c r="E35" i="1"/>
  <c r="D21" i="8" s="1"/>
  <c r="E14" i="1"/>
  <c r="D8" i="8" s="1"/>
  <c r="I8" i="8" s="1"/>
  <c r="E8" i="1"/>
  <c r="Q56" i="5" l="1"/>
  <c r="P56" i="5"/>
  <c r="E66" i="5"/>
  <c r="E80" i="1" s="1"/>
  <c r="D47" i="8" s="1"/>
  <c r="Q13" i="5"/>
  <c r="P13" i="5"/>
  <c r="P60" i="5"/>
  <c r="Q60" i="5"/>
  <c r="Q22" i="5"/>
  <c r="P22" i="5"/>
  <c r="P38" i="5"/>
  <c r="Q38" i="5"/>
  <c r="Q29" i="5"/>
  <c r="P29" i="5"/>
  <c r="Q44" i="5"/>
  <c r="P44" i="5"/>
  <c r="Q49" i="5"/>
  <c r="P49" i="5"/>
  <c r="L7" i="2"/>
  <c r="K7" i="2"/>
  <c r="L10" i="2"/>
  <c r="K10" i="2"/>
  <c r="L13" i="2"/>
  <c r="K13" i="2"/>
  <c r="K17" i="2"/>
  <c r="L17" i="2"/>
  <c r="L24" i="2"/>
  <c r="K24" i="2"/>
  <c r="E18" i="2"/>
  <c r="K18" i="2" s="1"/>
  <c r="E27" i="2"/>
  <c r="O35" i="1"/>
  <c r="Q32" i="1"/>
  <c r="P32" i="1"/>
  <c r="J29" i="8"/>
  <c r="I29" i="8"/>
  <c r="J23" i="8"/>
  <c r="I23" i="8"/>
  <c r="J19" i="8"/>
  <c r="I19" i="8"/>
  <c r="J25" i="8"/>
  <c r="I25" i="8"/>
  <c r="J17" i="8"/>
  <c r="I17" i="8"/>
  <c r="J27" i="8"/>
  <c r="I27" i="8"/>
  <c r="E28" i="2"/>
  <c r="E18" i="1"/>
  <c r="J15" i="8"/>
  <c r="I15" i="8"/>
  <c r="D42" i="8"/>
  <c r="D44" i="8" s="1"/>
  <c r="J8" i="8"/>
  <c r="H21" i="8"/>
  <c r="I21" i="8" s="1"/>
  <c r="F14" i="13"/>
  <c r="D46" i="8"/>
  <c r="J32" i="14"/>
  <c r="J145" i="14"/>
  <c r="J148" i="14"/>
  <c r="F143" i="14"/>
  <c r="F146" i="14"/>
  <c r="J143" i="14"/>
  <c r="J146" i="14"/>
  <c r="F145" i="14"/>
  <c r="F148" i="14"/>
  <c r="J139" i="14"/>
  <c r="J144" i="14"/>
  <c r="J141" i="14"/>
  <c r="J100" i="14"/>
  <c r="J99" i="14"/>
  <c r="J127" i="14"/>
  <c r="J140" i="14"/>
  <c r="F139" i="14"/>
  <c r="F141" i="14"/>
  <c r="E62" i="5"/>
  <c r="F83" i="14"/>
  <c r="F39" i="14"/>
  <c r="J37" i="14"/>
  <c r="J39" i="14"/>
  <c r="J126" i="14"/>
  <c r="J79" i="14"/>
  <c r="F79" i="14"/>
  <c r="F140" i="14"/>
  <c r="F31" i="14"/>
  <c r="F131" i="14"/>
  <c r="J83" i="14"/>
  <c r="J131" i="14"/>
  <c r="J30" i="14"/>
  <c r="F32" i="14"/>
  <c r="F37" i="14"/>
  <c r="J133" i="14"/>
  <c r="J137" i="14"/>
  <c r="J138" i="14"/>
  <c r="J135" i="14"/>
  <c r="J136" i="14"/>
  <c r="F126" i="14"/>
  <c r="F135" i="14"/>
  <c r="F134" i="14"/>
  <c r="J134" i="14"/>
  <c r="F133" i="14"/>
  <c r="F40" i="14"/>
  <c r="F53" i="14"/>
  <c r="J40" i="14"/>
  <c r="F33" i="14"/>
  <c r="F77" i="14"/>
  <c r="F95" i="14"/>
  <c r="J77" i="14"/>
  <c r="J31" i="14"/>
  <c r="J114" i="14"/>
  <c r="F6" i="3"/>
  <c r="J124" i="14"/>
  <c r="F5" i="3"/>
  <c r="J123" i="14"/>
  <c r="F124" i="14"/>
  <c r="F129" i="14"/>
  <c r="F7" i="3"/>
  <c r="G6" i="3"/>
  <c r="H6" i="3" s="1"/>
  <c r="F138" i="14"/>
  <c r="G50" i="1"/>
  <c r="H50" i="1" s="1"/>
  <c r="F66" i="14"/>
  <c r="F114" i="14"/>
  <c r="F50" i="1"/>
  <c r="G7" i="3"/>
  <c r="H7" i="3" s="1"/>
  <c r="F137" i="14"/>
  <c r="G5" i="3"/>
  <c r="H5" i="3" s="1"/>
  <c r="F136" i="14"/>
  <c r="F98" i="14"/>
  <c r="F110" i="14"/>
  <c r="F123" i="14"/>
  <c r="J33" i="14"/>
  <c r="J129" i="14"/>
  <c r="F80" i="14"/>
  <c r="F85" i="14"/>
  <c r="F116" i="14"/>
  <c r="F132" i="14"/>
  <c r="F130" i="14"/>
  <c r="F16" i="14"/>
  <c r="F18" i="14"/>
  <c r="J16" i="14"/>
  <c r="J18" i="14"/>
  <c r="J80" i="14"/>
  <c r="J85" i="14"/>
  <c r="J116" i="14"/>
  <c r="J132" i="14"/>
  <c r="J130" i="14"/>
  <c r="J98" i="14"/>
  <c r="J110" i="14"/>
  <c r="J53" i="14"/>
  <c r="J66" i="14"/>
  <c r="J95" i="14"/>
  <c r="F34" i="14"/>
  <c r="F11" i="14"/>
  <c r="F13" i="14"/>
  <c r="F17" i="14"/>
  <c r="F19" i="14"/>
  <c r="J17" i="14"/>
  <c r="J19" i="14"/>
  <c r="J11" i="14"/>
  <c r="F30" i="14"/>
  <c r="F50" i="14"/>
  <c r="F52" i="14"/>
  <c r="J41" i="14"/>
  <c r="J43" i="14"/>
  <c r="F51" i="5"/>
  <c r="J78" i="14"/>
  <c r="F105" i="14"/>
  <c r="J50" i="14"/>
  <c r="J52" i="14"/>
  <c r="F6" i="1"/>
  <c r="J5" i="14"/>
  <c r="F41" i="14"/>
  <c r="F43" i="14"/>
  <c r="J26" i="14"/>
  <c r="J36" i="14"/>
  <c r="J38" i="14"/>
  <c r="J45" i="14"/>
  <c r="J47" i="14"/>
  <c r="F40" i="5"/>
  <c r="J82" i="14"/>
  <c r="F117" i="14"/>
  <c r="F128" i="14"/>
  <c r="F36" i="14"/>
  <c r="F38" i="14"/>
  <c r="F64" i="14"/>
  <c r="F69" i="14"/>
  <c r="F113" i="14"/>
  <c r="F121" i="14"/>
  <c r="G6" i="1"/>
  <c r="H6" i="1" s="1"/>
  <c r="F5" i="14"/>
  <c r="F42" i="14"/>
  <c r="F44" i="14"/>
  <c r="G51" i="5"/>
  <c r="G52" i="5" s="1"/>
  <c r="F78" i="14"/>
  <c r="F45" i="14"/>
  <c r="F47" i="14"/>
  <c r="F27" i="14"/>
  <c r="J27" i="14"/>
  <c r="J64" i="14"/>
  <c r="J69" i="14"/>
  <c r="J113" i="14"/>
  <c r="J121" i="14"/>
  <c r="J117" i="14"/>
  <c r="J128" i="14"/>
  <c r="J42" i="14"/>
  <c r="J44" i="14"/>
  <c r="F26" i="14"/>
  <c r="G40" i="5"/>
  <c r="H40" i="5" s="1"/>
  <c r="F82" i="14"/>
  <c r="F38" i="1"/>
  <c r="F45" i="1"/>
  <c r="F69" i="1"/>
  <c r="J81" i="14"/>
  <c r="F33" i="1"/>
  <c r="J10" i="14"/>
  <c r="F79" i="1"/>
  <c r="E46" i="8" s="1"/>
  <c r="E146" i="14"/>
  <c r="E142" i="14"/>
  <c r="E150" i="14"/>
  <c r="J23" i="14"/>
  <c r="E138" i="14"/>
  <c r="E137" i="14"/>
  <c r="E133" i="14"/>
  <c r="E134" i="14"/>
  <c r="J34" i="14"/>
  <c r="F11" i="5"/>
  <c r="G12" i="2"/>
  <c r="F84" i="14"/>
  <c r="G11" i="3"/>
  <c r="H11" i="3" s="1"/>
  <c r="F94" i="14"/>
  <c r="G49" i="1"/>
  <c r="H49" i="1" s="1"/>
  <c r="F118" i="14"/>
  <c r="G42" i="5"/>
  <c r="H42" i="5" s="1"/>
  <c r="F65" i="14"/>
  <c r="F59" i="5"/>
  <c r="J70" i="14"/>
  <c r="F49" i="1"/>
  <c r="J118" i="14"/>
  <c r="G10" i="5"/>
  <c r="H10" i="5" s="1"/>
  <c r="F7" i="14"/>
  <c r="F12" i="2"/>
  <c r="J84" i="14"/>
  <c r="G48" i="1"/>
  <c r="H48" i="1" s="1"/>
  <c r="F125" i="14"/>
  <c r="F9" i="5"/>
  <c r="J8" i="14"/>
  <c r="G6" i="2"/>
  <c r="H6" i="2" s="1"/>
  <c r="F91" i="14"/>
  <c r="G34" i="5"/>
  <c r="H34" i="5" s="1"/>
  <c r="F62" i="14"/>
  <c r="F12" i="1"/>
  <c r="J12" i="14"/>
  <c r="F35" i="5"/>
  <c r="J73" i="14"/>
  <c r="F8" i="4"/>
  <c r="J105" i="14"/>
  <c r="F48" i="1"/>
  <c r="J125" i="14"/>
  <c r="F55" i="1"/>
  <c r="J28" i="14"/>
  <c r="G37" i="5"/>
  <c r="H37" i="5" s="1"/>
  <c r="F74" i="14"/>
  <c r="G33" i="5"/>
  <c r="H33" i="5" s="1"/>
  <c r="F72" i="14"/>
  <c r="G23" i="2"/>
  <c r="G24" i="2" s="1"/>
  <c r="H24" i="2" s="1"/>
  <c r="F97" i="14"/>
  <c r="F37" i="5"/>
  <c r="J74" i="14"/>
  <c r="F6" i="2"/>
  <c r="J91" i="14"/>
  <c r="G65" i="5"/>
  <c r="G79" i="1" s="1"/>
  <c r="L77" i="1" s="1"/>
  <c r="F10" i="14"/>
  <c r="F19" i="5"/>
  <c r="J61" i="14"/>
  <c r="F11" i="3"/>
  <c r="J94" i="14"/>
  <c r="F9" i="2"/>
  <c r="J88" i="14"/>
  <c r="G46" i="1"/>
  <c r="H46" i="1" s="1"/>
  <c r="F119" i="14"/>
  <c r="F7" i="4"/>
  <c r="J106" i="14"/>
  <c r="F8" i="3"/>
  <c r="J111" i="14"/>
  <c r="F46" i="1"/>
  <c r="J119" i="14"/>
  <c r="G11" i="1"/>
  <c r="H11" i="1" s="1"/>
  <c r="F14" i="14"/>
  <c r="G26" i="5"/>
  <c r="H26" i="5" s="1"/>
  <c r="F58" i="14"/>
  <c r="G27" i="5"/>
  <c r="H27" i="5" s="1"/>
  <c r="F63" i="14"/>
  <c r="G21" i="5"/>
  <c r="H21" i="5" s="1"/>
  <c r="F75" i="14"/>
  <c r="G10" i="4"/>
  <c r="H10" i="4" s="1"/>
  <c r="F107" i="14"/>
  <c r="G9" i="3"/>
  <c r="H9" i="3" s="1"/>
  <c r="F112" i="14"/>
  <c r="G47" i="1"/>
  <c r="H47" i="1" s="1"/>
  <c r="F120" i="14"/>
  <c r="F52" i="1"/>
  <c r="J24" i="14"/>
  <c r="G12" i="1"/>
  <c r="H12" i="1" s="1"/>
  <c r="F12" i="14"/>
  <c r="G9" i="2"/>
  <c r="H9" i="2" s="1"/>
  <c r="F88" i="14"/>
  <c r="F58" i="1"/>
  <c r="E29" i="8" s="1"/>
  <c r="J56" i="14"/>
  <c r="G56" i="1"/>
  <c r="H56" i="1" s="1"/>
  <c r="F25" i="14"/>
  <c r="F21" i="5"/>
  <c r="J75" i="14"/>
  <c r="F10" i="4"/>
  <c r="J107" i="14"/>
  <c r="F9" i="3"/>
  <c r="J112" i="14"/>
  <c r="F47" i="1"/>
  <c r="J120" i="14"/>
  <c r="F46" i="5"/>
  <c r="J60" i="14"/>
  <c r="G53" i="1"/>
  <c r="H53" i="1" s="1"/>
  <c r="F29" i="14"/>
  <c r="G54" i="5"/>
  <c r="F71" i="14"/>
  <c r="G24" i="1"/>
  <c r="H24" i="1" s="1"/>
  <c r="F115" i="14"/>
  <c r="G52" i="1"/>
  <c r="H52" i="1" s="1"/>
  <c r="F24" i="14"/>
  <c r="F42" i="5"/>
  <c r="J65" i="14"/>
  <c r="G6" i="5"/>
  <c r="H6" i="5" s="1"/>
  <c r="F6" i="14"/>
  <c r="G58" i="5"/>
  <c r="H58" i="5" s="1"/>
  <c r="F67" i="14"/>
  <c r="F26" i="5"/>
  <c r="J58" i="14"/>
  <c r="G5" i="4"/>
  <c r="H5" i="4" s="1"/>
  <c r="F102" i="14"/>
  <c r="G25" i="1"/>
  <c r="H25" i="1" s="1"/>
  <c r="F109" i="14"/>
  <c r="G44" i="1"/>
  <c r="H44" i="1" s="1"/>
  <c r="F122" i="14"/>
  <c r="G8" i="4"/>
  <c r="H8" i="4" s="1"/>
  <c r="F10" i="5"/>
  <c r="J7" i="14"/>
  <c r="F53" i="1"/>
  <c r="J29" i="14"/>
  <c r="F33" i="5"/>
  <c r="J72" i="14"/>
  <c r="F23" i="2"/>
  <c r="J97" i="14"/>
  <c r="G19" i="5"/>
  <c r="H19" i="5" s="1"/>
  <c r="F61" i="14"/>
  <c r="F41" i="1"/>
  <c r="J51" i="14"/>
  <c r="G58" i="1"/>
  <c r="F56" i="14"/>
  <c r="G35" i="5"/>
  <c r="H35" i="5" s="1"/>
  <c r="F73" i="14"/>
  <c r="F34" i="5"/>
  <c r="J62" i="14"/>
  <c r="G7" i="1"/>
  <c r="G8" i="3"/>
  <c r="H8" i="3" s="1"/>
  <c r="F111" i="14"/>
  <c r="F6" i="5"/>
  <c r="J6" i="14"/>
  <c r="G10" i="1"/>
  <c r="H10" i="1" s="1"/>
  <c r="F15" i="14"/>
  <c r="G39" i="1"/>
  <c r="H39" i="1" s="1"/>
  <c r="F46" i="14"/>
  <c r="F10" i="1"/>
  <c r="J15" i="14"/>
  <c r="F17" i="5"/>
  <c r="J35" i="14"/>
  <c r="F39" i="1"/>
  <c r="J46" i="14"/>
  <c r="F36" i="5"/>
  <c r="J59" i="14"/>
  <c r="F48" i="5"/>
  <c r="J76" i="14"/>
  <c r="F5" i="4"/>
  <c r="J102" i="14"/>
  <c r="F25" i="1"/>
  <c r="J109" i="14"/>
  <c r="F44" i="1"/>
  <c r="J122" i="14"/>
  <c r="F40" i="1"/>
  <c r="J48" i="14"/>
  <c r="F32" i="5"/>
  <c r="J68" i="14"/>
  <c r="F5" i="2"/>
  <c r="J90" i="14"/>
  <c r="F6" i="4"/>
  <c r="J103" i="14"/>
  <c r="G11" i="4"/>
  <c r="H11" i="4" s="1"/>
  <c r="F104" i="14"/>
  <c r="F54" i="5"/>
  <c r="J71" i="14"/>
  <c r="F11" i="4"/>
  <c r="J104" i="14"/>
  <c r="F24" i="1"/>
  <c r="J115" i="14"/>
  <c r="G41" i="1"/>
  <c r="H41" i="1" s="1"/>
  <c r="F51" i="14"/>
  <c r="G59" i="5"/>
  <c r="H59" i="5" s="1"/>
  <c r="F70" i="14"/>
  <c r="G7" i="4"/>
  <c r="H7" i="4" s="1"/>
  <c r="F106" i="14"/>
  <c r="F7" i="1"/>
  <c r="J13" i="14"/>
  <c r="F56" i="1"/>
  <c r="J25" i="14"/>
  <c r="F58" i="5"/>
  <c r="J67" i="14"/>
  <c r="F11" i="1"/>
  <c r="J14" i="14"/>
  <c r="F27" i="5"/>
  <c r="J63" i="14"/>
  <c r="G8" i="5"/>
  <c r="H8" i="5" s="1"/>
  <c r="F9" i="14"/>
  <c r="G17" i="5"/>
  <c r="H17" i="5" s="1"/>
  <c r="F35" i="14"/>
  <c r="G36" i="5"/>
  <c r="H36" i="5" s="1"/>
  <c r="F59" i="14"/>
  <c r="G48" i="5"/>
  <c r="H48" i="5" s="1"/>
  <c r="F76" i="14"/>
  <c r="F8" i="5"/>
  <c r="J9" i="14"/>
  <c r="G9" i="5"/>
  <c r="H9" i="5" s="1"/>
  <c r="F8" i="14"/>
  <c r="G55" i="1"/>
  <c r="H55" i="1" s="1"/>
  <c r="F28" i="14"/>
  <c r="G38" i="1"/>
  <c r="H38" i="1" s="1"/>
  <c r="G40" i="1"/>
  <c r="H40" i="1" s="1"/>
  <c r="F48" i="14"/>
  <c r="G46" i="5"/>
  <c r="H46" i="5" s="1"/>
  <c r="F60" i="14"/>
  <c r="G32" i="5"/>
  <c r="H32" i="5" s="1"/>
  <c r="F68" i="14"/>
  <c r="G33" i="1"/>
  <c r="F81" i="14"/>
  <c r="G5" i="2"/>
  <c r="H5" i="2" s="1"/>
  <c r="F90" i="14"/>
  <c r="G6" i="4"/>
  <c r="H6" i="4" s="1"/>
  <c r="F103" i="14"/>
  <c r="G45" i="1"/>
  <c r="H45" i="1" s="1"/>
  <c r="F37" i="1"/>
  <c r="G37" i="1"/>
  <c r="H37" i="1" s="1"/>
  <c r="G43" i="1"/>
  <c r="H43" i="1" s="1"/>
  <c r="G23" i="1"/>
  <c r="H23" i="1" s="1"/>
  <c r="F26" i="2"/>
  <c r="F43" i="1"/>
  <c r="G54" i="1"/>
  <c r="H54" i="1" s="1"/>
  <c r="G43" i="5"/>
  <c r="H43" i="5" s="1"/>
  <c r="F23" i="1"/>
  <c r="F43" i="5"/>
  <c r="G18" i="5"/>
  <c r="H18" i="5" s="1"/>
  <c r="F18" i="5"/>
  <c r="F54" i="1"/>
  <c r="G17" i="2"/>
  <c r="H17" i="2" s="1"/>
  <c r="E67" i="5"/>
  <c r="E68" i="5" s="1"/>
  <c r="E82" i="1" s="1"/>
  <c r="D49" i="8" s="1"/>
  <c r="E74" i="1"/>
  <c r="E75" i="1"/>
  <c r="E63" i="5"/>
  <c r="D6" i="8"/>
  <c r="J6" i="8" s="1"/>
  <c r="E59" i="1"/>
  <c r="D31" i="8" s="1"/>
  <c r="E30" i="5"/>
  <c r="E81" i="1" l="1"/>
  <c r="D48" i="8" s="1"/>
  <c r="Q30" i="5"/>
  <c r="P30" i="5"/>
  <c r="Q62" i="5"/>
  <c r="P62" i="5"/>
  <c r="Q63" i="5"/>
  <c r="P63" i="5"/>
  <c r="L27" i="2"/>
  <c r="K27" i="2"/>
  <c r="O62" i="1"/>
  <c r="Q35" i="1"/>
  <c r="P35" i="1"/>
  <c r="J31" i="8"/>
  <c r="I31" i="8"/>
  <c r="E61" i="1"/>
  <c r="D10" i="8"/>
  <c r="E76" i="1"/>
  <c r="H34" i="8"/>
  <c r="J21" i="8"/>
  <c r="F29" i="8"/>
  <c r="H58" i="1"/>
  <c r="F19" i="8"/>
  <c r="H33" i="1"/>
  <c r="G13" i="2"/>
  <c r="H13" i="2" s="1"/>
  <c r="H12" i="2"/>
  <c r="G56" i="5"/>
  <c r="H56" i="5" s="1"/>
  <c r="H54" i="5"/>
  <c r="K77" i="1"/>
  <c r="G8" i="1"/>
  <c r="H8" i="1" s="1"/>
  <c r="H14" i="13"/>
  <c r="F46" i="8"/>
  <c r="G14" i="13"/>
  <c r="E153" i="14"/>
  <c r="F57" i="1"/>
  <c r="E27" i="8" s="1"/>
  <c r="F51" i="1"/>
  <c r="F42" i="1"/>
  <c r="G7" i="2"/>
  <c r="H7" i="2" s="1"/>
  <c r="F44" i="5"/>
  <c r="G29" i="5"/>
  <c r="H29" i="5" s="1"/>
  <c r="G60" i="5"/>
  <c r="H60" i="5" s="1"/>
  <c r="F13" i="5"/>
  <c r="G44" i="5"/>
  <c r="H44" i="5" s="1"/>
  <c r="G13" i="4"/>
  <c r="G38" i="5"/>
  <c r="H38" i="5" s="1"/>
  <c r="G13" i="5"/>
  <c r="G57" i="1"/>
  <c r="G49" i="5"/>
  <c r="H49" i="5" s="1"/>
  <c r="G42" i="1"/>
  <c r="G14" i="1"/>
  <c r="H14" i="1" s="1"/>
  <c r="G8" i="8" s="1"/>
  <c r="G51" i="1"/>
  <c r="G22" i="5"/>
  <c r="H22" i="5" s="1"/>
  <c r="G12" i="3"/>
  <c r="G29" i="1" s="1"/>
  <c r="G10" i="2"/>
  <c r="H10" i="2" s="1"/>
  <c r="E62" i="1"/>
  <c r="E66" i="1" s="1"/>
  <c r="Q62" i="1" l="1"/>
  <c r="P62" i="1"/>
  <c r="O71" i="1"/>
  <c r="O72" i="1" s="1"/>
  <c r="O66" i="1"/>
  <c r="F6" i="8"/>
  <c r="D33" i="8"/>
  <c r="E70" i="1"/>
  <c r="H39" i="8"/>
  <c r="G74" i="1"/>
  <c r="H13" i="5"/>
  <c r="F15" i="8"/>
  <c r="H29" i="1"/>
  <c r="F25" i="8"/>
  <c r="H51" i="1"/>
  <c r="F23" i="8"/>
  <c r="H42" i="1"/>
  <c r="F27" i="8"/>
  <c r="H57" i="1"/>
  <c r="G30" i="1"/>
  <c r="H13" i="4"/>
  <c r="G18" i="2"/>
  <c r="H18" i="2" s="1"/>
  <c r="F8" i="8"/>
  <c r="F42" i="8" s="1"/>
  <c r="F44" i="8" s="1"/>
  <c r="F12" i="13"/>
  <c r="D39" i="8"/>
  <c r="F59" i="1"/>
  <c r="G30" i="5"/>
  <c r="H30" i="5" s="1"/>
  <c r="G18" i="1"/>
  <c r="G59" i="1"/>
  <c r="H59" i="1" s="1"/>
  <c r="H12" i="3"/>
  <c r="G28" i="2"/>
  <c r="G62" i="5"/>
  <c r="H62" i="5" s="1"/>
  <c r="G66" i="5"/>
  <c r="G80" i="1" s="1"/>
  <c r="F47" i="8" s="1"/>
  <c r="D34" i="8"/>
  <c r="J34" i="8" s="1"/>
  <c r="E71" i="1"/>
  <c r="E72" i="1" s="1"/>
  <c r="E27" i="1"/>
  <c r="E29" i="2"/>
  <c r="L29" i="2" l="1"/>
  <c r="K29" i="2"/>
  <c r="E28" i="1"/>
  <c r="Q27" i="1"/>
  <c r="P27" i="1"/>
  <c r="J33" i="8"/>
  <c r="I33" i="8"/>
  <c r="I34" i="8"/>
  <c r="G75" i="1"/>
  <c r="F17" i="8"/>
  <c r="H30" i="1"/>
  <c r="G27" i="2"/>
  <c r="G27" i="1" s="1"/>
  <c r="F31" i="8"/>
  <c r="G61" i="1"/>
  <c r="H61" i="1" s="1"/>
  <c r="H18" i="1"/>
  <c r="F10" i="8"/>
  <c r="G67" i="5"/>
  <c r="G81" i="1" s="1"/>
  <c r="F48" i="8" s="1"/>
  <c r="G63" i="5"/>
  <c r="J35" i="10"/>
  <c r="J42" i="10"/>
  <c r="J48" i="10"/>
  <c r="J99" i="10"/>
  <c r="J92" i="10"/>
  <c r="J89" i="10"/>
  <c r="J59" i="10"/>
  <c r="J58" i="10"/>
  <c r="J21" i="10"/>
  <c r="J20" i="10"/>
  <c r="D13" i="8" l="1"/>
  <c r="Q28" i="1"/>
  <c r="P28" i="1"/>
  <c r="F33" i="8"/>
  <c r="G70" i="1"/>
  <c r="G29" i="2"/>
  <c r="H29" i="2" s="1"/>
  <c r="H27" i="2"/>
  <c r="G28" i="1"/>
  <c r="H27" i="1"/>
  <c r="G68" i="5"/>
  <c r="G82" i="1" s="1"/>
  <c r="F49" i="8" s="1"/>
  <c r="C4" i="13"/>
  <c r="C6" i="1"/>
  <c r="C8" i="1" s="1"/>
  <c r="E7" i="10"/>
  <c r="E8" i="10"/>
  <c r="E12" i="10"/>
  <c r="E11" i="10"/>
  <c r="E9" i="10"/>
  <c r="E10" i="10"/>
  <c r="E13" i="10"/>
  <c r="J14" i="10" s="1"/>
  <c r="E14" i="10"/>
  <c r="E15" i="10"/>
  <c r="E16" i="10"/>
  <c r="E17" i="10"/>
  <c r="BQ19" i="10" s="1"/>
  <c r="BQ20" i="10"/>
  <c r="BQ21" i="10"/>
  <c r="BQ22" i="10"/>
  <c r="BQ23" i="10"/>
  <c r="BQ24" i="10"/>
  <c r="E19" i="10"/>
  <c r="BQ25" i="10"/>
  <c r="E20" i="10"/>
  <c r="E21" i="10"/>
  <c r="E22" i="10"/>
  <c r="E23" i="10"/>
  <c r="E24" i="10"/>
  <c r="E25" i="10"/>
  <c r="E26" i="10"/>
  <c r="J34" i="10" s="1"/>
  <c r="BQ35" i="10"/>
  <c r="E28" i="10"/>
  <c r="BQ36" i="10"/>
  <c r="E29" i="10"/>
  <c r="E31" i="10"/>
  <c r="E30" i="10"/>
  <c r="J41" i="10" s="1"/>
  <c r="E33" i="10"/>
  <c r="J43" i="10" s="1"/>
  <c r="BQ42" i="10"/>
  <c r="E34" i="10"/>
  <c r="E36" i="10"/>
  <c r="E35" i="10"/>
  <c r="J47" i="10" s="1"/>
  <c r="E37" i="10"/>
  <c r="BQ48" i="10"/>
  <c r="E38" i="10"/>
  <c r="J51" i="10" s="1"/>
  <c r="E39" i="10"/>
  <c r="J53" i="10" s="1"/>
  <c r="E40" i="10"/>
  <c r="E41" i="10"/>
  <c r="BQ57" i="10"/>
  <c r="BQ58" i="10"/>
  <c r="BQ59" i="10"/>
  <c r="E44" i="10"/>
  <c r="BQ60" i="10"/>
  <c r="E45" i="10"/>
  <c r="E46" i="10"/>
  <c r="E62" i="10"/>
  <c r="E48" i="10"/>
  <c r="E49" i="10"/>
  <c r="E51" i="10"/>
  <c r="E52" i="10"/>
  <c r="E55" i="10"/>
  <c r="E56" i="10"/>
  <c r="E57" i="10"/>
  <c r="E53" i="10"/>
  <c r="E59" i="10"/>
  <c r="E69" i="10"/>
  <c r="E68" i="10"/>
  <c r="E54" i="10"/>
  <c r="E61" i="10"/>
  <c r="E63" i="10"/>
  <c r="E64" i="10"/>
  <c r="E47" i="10"/>
  <c r="E65" i="10"/>
  <c r="E66" i="10"/>
  <c r="J86" i="10" s="1"/>
  <c r="E67" i="10"/>
  <c r="E74" i="10"/>
  <c r="BQ95" i="10" s="1"/>
  <c r="BQ88" i="10"/>
  <c r="E76" i="10"/>
  <c r="F13" i="2" s="1"/>
  <c r="E77" i="10"/>
  <c r="J101" i="10" s="1"/>
  <c r="E81" i="10"/>
  <c r="J106" i="10" s="1"/>
  <c r="E82" i="10"/>
  <c r="E83" i="10"/>
  <c r="E85" i="10"/>
  <c r="E86" i="10"/>
  <c r="E88" i="10"/>
  <c r="E91" i="10"/>
  <c r="E92" i="10"/>
  <c r="J118" i="10" s="1"/>
  <c r="E94" i="10"/>
  <c r="E95" i="10"/>
  <c r="E96" i="10"/>
  <c r="E98" i="10"/>
  <c r="E99" i="10"/>
  <c r="E100" i="10"/>
  <c r="E101" i="10"/>
  <c r="E104" i="10"/>
  <c r="E105" i="10"/>
  <c r="E106" i="10"/>
  <c r="E107" i="10"/>
  <c r="E108" i="10"/>
  <c r="E110" i="10"/>
  <c r="E111" i="10"/>
  <c r="E113" i="10"/>
  <c r="E114" i="10"/>
  <c r="E115" i="10"/>
  <c r="E116" i="10"/>
  <c r="E117" i="10"/>
  <c r="E118" i="10"/>
  <c r="J152" i="10" s="1"/>
  <c r="E119" i="10"/>
  <c r="J155" i="10" s="1"/>
  <c r="D6" i="10"/>
  <c r="F6" i="10" s="1"/>
  <c r="D15" i="10"/>
  <c r="D17" i="10"/>
  <c r="D10" i="1" s="1"/>
  <c r="D16" i="10"/>
  <c r="D11" i="1" s="1"/>
  <c r="D14" i="10"/>
  <c r="D18" i="10"/>
  <c r="D13" i="1" s="1"/>
  <c r="D90" i="10"/>
  <c r="D22" i="1" s="1"/>
  <c r="D28" i="10"/>
  <c r="D33" i="10"/>
  <c r="D108" i="10"/>
  <c r="D110" i="10"/>
  <c r="D24" i="1" s="1"/>
  <c r="D101" i="10"/>
  <c r="D25" i="1" s="1"/>
  <c r="D91" i="10"/>
  <c r="D26" i="1" s="1"/>
  <c r="D81" i="10"/>
  <c r="F108" i="10" s="1"/>
  <c r="D82" i="10"/>
  <c r="D6" i="2" s="1"/>
  <c r="D77" i="10"/>
  <c r="D9" i="2" s="1"/>
  <c r="D76" i="10"/>
  <c r="D12" i="2" s="1"/>
  <c r="D13" i="2" s="1"/>
  <c r="D79" i="10"/>
  <c r="D15" i="2" s="1"/>
  <c r="D80" i="10"/>
  <c r="D16" i="2" s="1"/>
  <c r="D86" i="10"/>
  <c r="D20" i="2" s="1"/>
  <c r="D85" i="10"/>
  <c r="D21" i="2" s="1"/>
  <c r="D88" i="10"/>
  <c r="D22" i="2" s="1"/>
  <c r="D89" i="10"/>
  <c r="D23" i="2" s="1"/>
  <c r="D84" i="10"/>
  <c r="D92" i="10"/>
  <c r="D102" i="10"/>
  <c r="D5" i="3" s="1"/>
  <c r="D105" i="10"/>
  <c r="D6" i="3" s="1"/>
  <c r="D104" i="10"/>
  <c r="F136" i="10" s="1"/>
  <c r="D106" i="10"/>
  <c r="D8" i="3" s="1"/>
  <c r="D107" i="10"/>
  <c r="D9" i="3" s="1"/>
  <c r="D83" i="10"/>
  <c r="F112" i="10" s="1"/>
  <c r="D94" i="10"/>
  <c r="D95" i="10"/>
  <c r="D6" i="4" s="1"/>
  <c r="D99" i="10"/>
  <c r="D7" i="4" s="1"/>
  <c r="D98" i="10"/>
  <c r="D8" i="4" s="1"/>
  <c r="D97" i="10"/>
  <c r="D9" i="4" s="1"/>
  <c r="D100" i="10"/>
  <c r="D10" i="4" s="1"/>
  <c r="D96" i="10"/>
  <c r="D12" i="4"/>
  <c r="D74" i="10"/>
  <c r="D33" i="1" s="1"/>
  <c r="D75" i="10"/>
  <c r="D34" i="1" s="1"/>
  <c r="D27" i="10"/>
  <c r="D30" i="10"/>
  <c r="F41" i="10" s="1"/>
  <c r="D78" i="10"/>
  <c r="D32" i="10"/>
  <c r="D35" i="10"/>
  <c r="F47" i="10" s="1"/>
  <c r="D38" i="10"/>
  <c r="D39" i="1" s="1"/>
  <c r="D39" i="10"/>
  <c r="D40" i="1" s="1"/>
  <c r="D41" i="10"/>
  <c r="F57" i="10" s="1"/>
  <c r="D112" i="10"/>
  <c r="D120" i="10"/>
  <c r="D115" i="10"/>
  <c r="D44" i="1" s="1"/>
  <c r="D116" i="10"/>
  <c r="D118" i="10"/>
  <c r="D113" i="10"/>
  <c r="D46" i="1" s="1"/>
  <c r="D114" i="10"/>
  <c r="D47" i="1" s="1"/>
  <c r="D119" i="10"/>
  <c r="D111" i="10"/>
  <c r="D49" i="1" s="1"/>
  <c r="D117" i="10"/>
  <c r="D20" i="10"/>
  <c r="D52" i="1" s="1"/>
  <c r="D26" i="10"/>
  <c r="D53" i="1" s="1"/>
  <c r="D19" i="10"/>
  <c r="F26" i="10" s="1"/>
  <c r="D23" i="10"/>
  <c r="D24" i="10"/>
  <c r="D25" i="10"/>
  <c r="D22" i="10"/>
  <c r="D56" i="1" s="1"/>
  <c r="D42" i="10"/>
  <c r="C29" i="8" s="1"/>
  <c r="D21" i="10"/>
  <c r="D7" i="10"/>
  <c r="D5" i="5" s="1"/>
  <c r="D8" i="10"/>
  <c r="D6" i="5" s="1"/>
  <c r="D9" i="10"/>
  <c r="D10" i="10"/>
  <c r="D8" i="5" s="1"/>
  <c r="D11" i="10"/>
  <c r="D9" i="5" s="1"/>
  <c r="D12" i="10"/>
  <c r="D31" i="10"/>
  <c r="D52" i="10"/>
  <c r="D29" i="10"/>
  <c r="D34" i="10"/>
  <c r="D36" i="10"/>
  <c r="D37" i="10"/>
  <c r="F49" i="10" s="1"/>
  <c r="D3" i="10"/>
  <c r="D4" i="10"/>
  <c r="D5" i="10"/>
  <c r="D13" i="10"/>
  <c r="D65" i="5" s="1"/>
  <c r="D40" i="10"/>
  <c r="F54" i="10" s="1"/>
  <c r="D43" i="10"/>
  <c r="D28" i="5" s="1"/>
  <c r="D44" i="10"/>
  <c r="D26" i="5" s="1"/>
  <c r="D45" i="10"/>
  <c r="D36" i="5" s="1"/>
  <c r="D46" i="10"/>
  <c r="D47" i="10"/>
  <c r="D48" i="10"/>
  <c r="D19" i="5" s="1"/>
  <c r="D49" i="10"/>
  <c r="D34" i="5" s="1"/>
  <c r="D50" i="10"/>
  <c r="D20" i="5" s="1"/>
  <c r="D51" i="10"/>
  <c r="D27" i="5" s="1"/>
  <c r="D53" i="10"/>
  <c r="D32" i="5" s="1"/>
  <c r="D54" i="10"/>
  <c r="D33" i="5" s="1"/>
  <c r="D55" i="10"/>
  <c r="D56" i="10"/>
  <c r="D57" i="10"/>
  <c r="D58" i="10"/>
  <c r="D59" i="10"/>
  <c r="D60" i="10"/>
  <c r="D61" i="10"/>
  <c r="D24" i="5" s="1"/>
  <c r="D62" i="10"/>
  <c r="D25" i="5" s="1"/>
  <c r="D63" i="10"/>
  <c r="D64" i="10"/>
  <c r="D51" i="5" s="1"/>
  <c r="D52" i="5" s="1"/>
  <c r="D65" i="10"/>
  <c r="D21" i="5" s="1"/>
  <c r="D66" i="10"/>
  <c r="D48" i="5" s="1"/>
  <c r="D67" i="10"/>
  <c r="F88" i="10" s="1"/>
  <c r="D68" i="10"/>
  <c r="D54" i="5" s="1"/>
  <c r="D69" i="10"/>
  <c r="D59" i="5" s="1"/>
  <c r="D70" i="10"/>
  <c r="D71" i="10"/>
  <c r="D72" i="10"/>
  <c r="D73" i="10"/>
  <c r="D87" i="10"/>
  <c r="D93" i="10"/>
  <c r="D103" i="10"/>
  <c r="D109" i="10"/>
  <c r="E6" i="10"/>
  <c r="E18" i="10"/>
  <c r="E90" i="10"/>
  <c r="J119" i="10" s="1"/>
  <c r="E79" i="10"/>
  <c r="E80" i="10"/>
  <c r="J105" i="10" s="1"/>
  <c r="E89" i="10"/>
  <c r="E84" i="10"/>
  <c r="E102" i="10"/>
  <c r="E97" i="10"/>
  <c r="E75" i="10"/>
  <c r="E27" i="10"/>
  <c r="E78" i="10"/>
  <c r="E32" i="10"/>
  <c r="E112" i="10"/>
  <c r="E120" i="10"/>
  <c r="E42" i="10"/>
  <c r="E3" i="10"/>
  <c r="E4" i="10"/>
  <c r="E5" i="10"/>
  <c r="E43" i="10"/>
  <c r="E50" i="10"/>
  <c r="E58" i="10"/>
  <c r="E60" i="10"/>
  <c r="E70" i="10"/>
  <c r="E71" i="10"/>
  <c r="E72" i="10"/>
  <c r="E73" i="10"/>
  <c r="E87" i="10"/>
  <c r="E93" i="10"/>
  <c r="E103" i="10"/>
  <c r="E109" i="10"/>
  <c r="M73" i="1"/>
  <c r="B70" i="1"/>
  <c r="B74" i="1"/>
  <c r="B82" i="1"/>
  <c r="B66" i="5"/>
  <c r="B81" i="1"/>
  <c r="B79" i="1"/>
  <c r="B67" i="5"/>
  <c r="F113" i="10"/>
  <c r="F100" i="10"/>
  <c r="F92" i="10"/>
  <c r="F89" i="10"/>
  <c r="F60" i="10"/>
  <c r="F59" i="10"/>
  <c r="F58" i="10"/>
  <c r="F48" i="10"/>
  <c r="F42" i="10"/>
  <c r="F36" i="10"/>
  <c r="F35" i="10"/>
  <c r="F25" i="10"/>
  <c r="F24" i="10"/>
  <c r="F23" i="10"/>
  <c r="F22" i="10"/>
  <c r="F21" i="10"/>
  <c r="F20" i="10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H3" i="4"/>
  <c r="H3" i="3"/>
  <c r="H3" i="2"/>
  <c r="G3" i="8"/>
  <c r="C43" i="8"/>
  <c r="E43" i="8"/>
  <c r="C36" i="8"/>
  <c r="E36" i="8"/>
  <c r="H3" i="5"/>
  <c r="C3" i="8"/>
  <c r="E4" i="13" s="1"/>
  <c r="E3" i="8"/>
  <c r="A44" i="5"/>
  <c r="A46" i="5" s="1"/>
  <c r="A47" i="5" s="1"/>
  <c r="A48" i="5" s="1"/>
  <c r="A49" i="5" s="1"/>
  <c r="A51" i="5" s="1"/>
  <c r="A52" i="5" s="1"/>
  <c r="A54" i="5" s="1"/>
  <c r="A56" i="5" s="1"/>
  <c r="A58" i="5" s="1"/>
  <c r="A59" i="5" s="1"/>
  <c r="A60" i="5" s="1"/>
  <c r="A62" i="5" s="1"/>
  <c r="A63" i="5" s="1"/>
  <c r="C44" i="5"/>
  <c r="G2" i="11"/>
  <c r="C13" i="2"/>
  <c r="D3" i="5"/>
  <c r="F3" i="5"/>
  <c r="D3" i="4"/>
  <c r="F3" i="4"/>
  <c r="D3" i="3"/>
  <c r="F3" i="3"/>
  <c r="C24" i="2"/>
  <c r="C17" i="2"/>
  <c r="C10" i="2"/>
  <c r="C7" i="2"/>
  <c r="D3" i="2"/>
  <c r="F3" i="2"/>
  <c r="C12" i="3"/>
  <c r="C29" i="1" s="1"/>
  <c r="B15" i="8" s="1"/>
  <c r="C13" i="4"/>
  <c r="C30" i="1" s="1"/>
  <c r="B17" i="8" s="1"/>
  <c r="C3" i="3"/>
  <c r="C49" i="5"/>
  <c r="C38" i="5"/>
  <c r="C22" i="5"/>
  <c r="C29" i="5"/>
  <c r="C30" i="5" s="1"/>
  <c r="C13" i="5"/>
  <c r="C74" i="1" s="1"/>
  <c r="E67" i="7"/>
  <c r="G67" i="7"/>
  <c r="H67" i="7" s="1"/>
  <c r="E66" i="7"/>
  <c r="G66" i="7" s="1"/>
  <c r="H66" i="7" s="1"/>
  <c r="E65" i="7"/>
  <c r="G65" i="7" s="1"/>
  <c r="H65" i="7" s="1"/>
  <c r="E64" i="7"/>
  <c r="G64" i="7" s="1"/>
  <c r="H64" i="7" s="1"/>
  <c r="E63" i="7"/>
  <c r="G63" i="7" s="1"/>
  <c r="H63" i="7" s="1"/>
  <c r="E62" i="7"/>
  <c r="G62" i="7" s="1"/>
  <c r="H62" i="7" s="1"/>
  <c r="T62" i="7" s="1"/>
  <c r="U62" i="7" s="1"/>
  <c r="V62" i="7" s="1"/>
  <c r="E61" i="7"/>
  <c r="G61" i="7" s="1"/>
  <c r="H61" i="7" s="1"/>
  <c r="Q61" i="7" s="1"/>
  <c r="E39" i="7"/>
  <c r="E38" i="7"/>
  <c r="G38" i="7" s="1"/>
  <c r="H38" i="7" s="1"/>
  <c r="E37" i="7"/>
  <c r="G37" i="7" s="1"/>
  <c r="H37" i="7" s="1"/>
  <c r="T37" i="7" s="1"/>
  <c r="U37" i="7" s="1"/>
  <c r="V37" i="7" s="1"/>
  <c r="E36" i="7"/>
  <c r="G36" i="7" s="1"/>
  <c r="H36" i="7" s="1"/>
  <c r="E35" i="7"/>
  <c r="G35" i="7" s="1"/>
  <c r="H35" i="7" s="1"/>
  <c r="T35" i="7" s="1"/>
  <c r="U35" i="7" s="1"/>
  <c r="V35" i="7" s="1"/>
  <c r="L35" i="7" s="1"/>
  <c r="E34" i="7"/>
  <c r="G34" i="7" s="1"/>
  <c r="H34" i="7" s="1"/>
  <c r="T34" i="7" s="1"/>
  <c r="U34" i="7" s="1"/>
  <c r="V34" i="7" s="1"/>
  <c r="E33" i="7"/>
  <c r="G33" i="7" s="1"/>
  <c r="H33" i="7" s="1"/>
  <c r="Q33" i="7" s="1"/>
  <c r="B43" i="8"/>
  <c r="B38" i="8"/>
  <c r="B19" i="8"/>
  <c r="B3" i="8"/>
  <c r="D4" i="13" s="1"/>
  <c r="B29" i="8"/>
  <c r="E13" i="7"/>
  <c r="G13" i="7" s="1"/>
  <c r="H13" i="7" s="1"/>
  <c r="E12" i="7"/>
  <c r="G12" i="7" s="1"/>
  <c r="H12" i="7" s="1"/>
  <c r="E11" i="7"/>
  <c r="G11" i="7" s="1"/>
  <c r="H11" i="7" s="1"/>
  <c r="E10" i="7"/>
  <c r="G10" i="7" s="1"/>
  <c r="H10" i="7" s="1"/>
  <c r="T10" i="7" s="1"/>
  <c r="U10" i="7" s="1"/>
  <c r="V10" i="7" s="1"/>
  <c r="N10" i="7" s="1"/>
  <c r="E9" i="7"/>
  <c r="G9" i="7" s="1"/>
  <c r="H9" i="7" s="1"/>
  <c r="T9" i="7" s="1"/>
  <c r="U9" i="7" s="1"/>
  <c r="V9" i="7" s="1"/>
  <c r="E8" i="7"/>
  <c r="G8" i="7" s="1"/>
  <c r="H8" i="7" s="1"/>
  <c r="E7" i="7"/>
  <c r="G7" i="7" s="1"/>
  <c r="H7" i="7" s="1"/>
  <c r="T7" i="7" s="1"/>
  <c r="U7" i="7" s="1"/>
  <c r="V7" i="7" s="1"/>
  <c r="L7" i="7" s="1"/>
  <c r="G39" i="7"/>
  <c r="H39" i="7" s="1"/>
  <c r="T39" i="7" s="1"/>
  <c r="U39" i="7" s="1"/>
  <c r="V39" i="7" s="1"/>
  <c r="J39" i="7" s="1"/>
  <c r="C60" i="5"/>
  <c r="C56" i="5"/>
  <c r="C52" i="5"/>
  <c r="C3" i="5"/>
  <c r="C2" i="5"/>
  <c r="A13" i="5"/>
  <c r="A17" i="5" s="1"/>
  <c r="A18" i="5" s="1"/>
  <c r="A19" i="5" s="1"/>
  <c r="A20" i="5" s="1"/>
  <c r="A21" i="5" s="1"/>
  <c r="A24" i="5" s="1"/>
  <c r="A25" i="5" s="1"/>
  <c r="A26" i="5" s="1"/>
  <c r="A27" i="5" s="1"/>
  <c r="A28" i="5" s="1"/>
  <c r="A29" i="5" s="1"/>
  <c r="A32" i="5" s="1"/>
  <c r="A33" i="5" s="1"/>
  <c r="A34" i="5" s="1"/>
  <c r="A35" i="5" s="1"/>
  <c r="A36" i="5" s="1"/>
  <c r="A37" i="5" s="1"/>
  <c r="A38" i="5" s="1"/>
  <c r="A40" i="5" s="1"/>
  <c r="A41" i="5" s="1"/>
  <c r="A42" i="5" s="1"/>
  <c r="C3" i="4"/>
  <c r="C14" i="1"/>
  <c r="B8" i="8" s="1"/>
  <c r="B42" i="8" s="1"/>
  <c r="C57" i="1"/>
  <c r="B27" i="8" s="1"/>
  <c r="J13" i="8" l="1"/>
  <c r="I13" i="8"/>
  <c r="J93" i="10"/>
  <c r="J95" i="10"/>
  <c r="F154" i="10"/>
  <c r="F155" i="10"/>
  <c r="J87" i="10"/>
  <c r="J88" i="10"/>
  <c r="F95" i="10"/>
  <c r="J62" i="10"/>
  <c r="D39" i="11"/>
  <c r="H28" i="1"/>
  <c r="G32" i="1"/>
  <c r="F13" i="8"/>
  <c r="D47" i="5"/>
  <c r="D129" i="10"/>
  <c r="D56" i="5"/>
  <c r="D29" i="5"/>
  <c r="C66" i="5"/>
  <c r="D69" i="1"/>
  <c r="B80" i="1"/>
  <c r="J31" i="10"/>
  <c r="J90" i="10"/>
  <c r="F105" i="10"/>
  <c r="J153" i="10"/>
  <c r="J154" i="10"/>
  <c r="F151" i="10"/>
  <c r="F152" i="10"/>
  <c r="F53" i="10"/>
  <c r="F104" i="10"/>
  <c r="F96" i="10"/>
  <c r="J122" i="10"/>
  <c r="BQ6" i="10"/>
  <c r="J6" i="10"/>
  <c r="D48" i="1"/>
  <c r="F153" i="10"/>
  <c r="J147" i="10"/>
  <c r="J151" i="10"/>
  <c r="F148" i="10"/>
  <c r="F138" i="10"/>
  <c r="F150" i="10"/>
  <c r="J117" i="10"/>
  <c r="BQ105" i="10"/>
  <c r="F87" i="10"/>
  <c r="F56" i="10"/>
  <c r="BQ87" i="10"/>
  <c r="BQ56" i="10"/>
  <c r="J57" i="10"/>
  <c r="J108" i="10"/>
  <c r="J109" i="10"/>
  <c r="F14" i="10"/>
  <c r="F19" i="10"/>
  <c r="F34" i="10"/>
  <c r="J107" i="10"/>
  <c r="J127" i="10"/>
  <c r="F51" i="10"/>
  <c r="F107" i="10"/>
  <c r="J138" i="10"/>
  <c r="J145" i="10"/>
  <c r="J121" i="10"/>
  <c r="J44" i="10"/>
  <c r="J12" i="10"/>
  <c r="F31" i="10"/>
  <c r="F102" i="10"/>
  <c r="BQ114" i="10"/>
  <c r="J113" i="10"/>
  <c r="J45" i="10"/>
  <c r="BQ41" i="10"/>
  <c r="J32" i="10"/>
  <c r="J28" i="10"/>
  <c r="J102" i="10"/>
  <c r="J140" i="10"/>
  <c r="J143" i="10"/>
  <c r="J126" i="10"/>
  <c r="J136" i="10"/>
  <c r="J115" i="10"/>
  <c r="J97" i="10"/>
  <c r="J96" i="10"/>
  <c r="J4" i="10"/>
  <c r="J124" i="10"/>
  <c r="F114" i="10"/>
  <c r="F44" i="10"/>
  <c r="F39" i="10"/>
  <c r="J76" i="10"/>
  <c r="J71" i="10"/>
  <c r="BQ51" i="10"/>
  <c r="J39" i="10"/>
  <c r="J83" i="10"/>
  <c r="J79" i="10"/>
  <c r="J70" i="10"/>
  <c r="J29" i="10"/>
  <c r="J16" i="10"/>
  <c r="J144" i="10"/>
  <c r="J148" i="10"/>
  <c r="J125" i="10"/>
  <c r="J129" i="10"/>
  <c r="F40" i="10"/>
  <c r="J135" i="10"/>
  <c r="J139" i="10"/>
  <c r="BQ101" i="10"/>
  <c r="J75" i="10"/>
  <c r="F86" i="10"/>
  <c r="F46" i="10"/>
  <c r="J146" i="10"/>
  <c r="J150" i="10"/>
  <c r="J141" i="10"/>
  <c r="J128" i="10"/>
  <c r="BQ86" i="10"/>
  <c r="J82" i="10"/>
  <c r="J78" i="10"/>
  <c r="J69" i="10"/>
  <c r="J64" i="10"/>
  <c r="BQ47" i="10"/>
  <c r="BQ14" i="10"/>
  <c r="F94" i="10"/>
  <c r="F101" i="10"/>
  <c r="F85" i="10"/>
  <c r="J110" i="10"/>
  <c r="J114" i="10"/>
  <c r="J85" i="10"/>
  <c r="J81" i="10"/>
  <c r="J72" i="10"/>
  <c r="J68" i="10"/>
  <c r="J63" i="10"/>
  <c r="J55" i="10"/>
  <c r="J56" i="10"/>
  <c r="J38" i="10"/>
  <c r="BQ34" i="10"/>
  <c r="J30" i="10"/>
  <c r="J18" i="10"/>
  <c r="J19" i="10"/>
  <c r="J149" i="10"/>
  <c r="J137" i="10"/>
  <c r="BQ108" i="10"/>
  <c r="J112" i="10"/>
  <c r="BQ97" i="10"/>
  <c r="J98" i="10"/>
  <c r="J84" i="10"/>
  <c r="J66" i="10"/>
  <c r="BQ33" i="10"/>
  <c r="J33" i="10"/>
  <c r="BQ26" i="10"/>
  <c r="J26" i="10"/>
  <c r="BQ17" i="10"/>
  <c r="J17" i="10"/>
  <c r="BQ9" i="10"/>
  <c r="J9" i="10"/>
  <c r="BQ110" i="10"/>
  <c r="J111" i="10"/>
  <c r="BQ65" i="10"/>
  <c r="J65" i="10"/>
  <c r="BQ49" i="10"/>
  <c r="J49" i="10"/>
  <c r="BQ40" i="10"/>
  <c r="J40" i="10"/>
  <c r="BQ8" i="10"/>
  <c r="J8" i="10"/>
  <c r="J134" i="10"/>
  <c r="BQ92" i="10"/>
  <c r="J94" i="10"/>
  <c r="J74" i="10"/>
  <c r="BQ7" i="10"/>
  <c r="J7" i="10"/>
  <c r="J100" i="10"/>
  <c r="BQ126" i="10"/>
  <c r="J133" i="10"/>
  <c r="BQ46" i="10"/>
  <c r="J46" i="10"/>
  <c r="BQ15" i="10"/>
  <c r="J15" i="10"/>
  <c r="J73" i="10"/>
  <c r="F72" i="10"/>
  <c r="J132" i="10"/>
  <c r="BQ89" i="10"/>
  <c r="J91" i="10"/>
  <c r="J80" i="10"/>
  <c r="BQ54" i="10"/>
  <c r="J54" i="10"/>
  <c r="BQ13" i="10"/>
  <c r="J13" i="10"/>
  <c r="BQ136" i="10"/>
  <c r="J142" i="10"/>
  <c r="J131" i="10"/>
  <c r="J120" i="10"/>
  <c r="BQ37" i="10"/>
  <c r="J37" i="10"/>
  <c r="J67" i="10"/>
  <c r="J116" i="10"/>
  <c r="BQ104" i="10"/>
  <c r="J104" i="10"/>
  <c r="BQ61" i="10"/>
  <c r="J61" i="10"/>
  <c r="BQ52" i="10"/>
  <c r="J52" i="10"/>
  <c r="BQ27" i="10"/>
  <c r="J27" i="10"/>
  <c r="BQ11" i="10"/>
  <c r="J11" i="10"/>
  <c r="J123" i="10"/>
  <c r="J130" i="10"/>
  <c r="J5" i="10"/>
  <c r="D6" i="1"/>
  <c r="F5" i="10"/>
  <c r="J103" i="10"/>
  <c r="F56" i="5"/>
  <c r="J77" i="10"/>
  <c r="BQ50" i="10"/>
  <c r="J50" i="10"/>
  <c r="BQ10" i="10"/>
  <c r="J10" i="10"/>
  <c r="F111" i="10"/>
  <c r="F91" i="10"/>
  <c r="F98" i="10"/>
  <c r="F147" i="10"/>
  <c r="BQ145" i="10"/>
  <c r="BQ112" i="10"/>
  <c r="BQ84" i="10"/>
  <c r="BQ71" i="10"/>
  <c r="BQ91" i="10"/>
  <c r="BQ70" i="10"/>
  <c r="F81" i="10"/>
  <c r="BQ85" i="10"/>
  <c r="BQ68" i="10"/>
  <c r="F84" i="10"/>
  <c r="BQ94" i="10"/>
  <c r="BQ67" i="10"/>
  <c r="F43" i="10"/>
  <c r="BQ81" i="10"/>
  <c r="BQ44" i="10"/>
  <c r="BQ28" i="10"/>
  <c r="F134" i="10"/>
  <c r="F37" i="10"/>
  <c r="BQ63" i="10"/>
  <c r="BQ39" i="10"/>
  <c r="BQ31" i="10"/>
  <c r="F45" i="10"/>
  <c r="F30" i="10"/>
  <c r="BQ123" i="10"/>
  <c r="BQ96" i="10"/>
  <c r="BQ75" i="10"/>
  <c r="BQ66" i="10"/>
  <c r="BQ62" i="10"/>
  <c r="BQ53" i="10"/>
  <c r="BQ43" i="10"/>
  <c r="BQ38" i="10"/>
  <c r="BQ30" i="10"/>
  <c r="BQ131" i="10"/>
  <c r="F131" i="10"/>
  <c r="F8" i="10"/>
  <c r="F18" i="10"/>
  <c r="F29" i="10"/>
  <c r="F123" i="10"/>
  <c r="F38" i="10"/>
  <c r="F106" i="10"/>
  <c r="BQ137" i="10"/>
  <c r="F116" i="10"/>
  <c r="F10" i="2"/>
  <c r="B44" i="8"/>
  <c r="BQ125" i="10"/>
  <c r="N34" i="7"/>
  <c r="J34" i="7"/>
  <c r="J9" i="7"/>
  <c r="BQ133" i="10"/>
  <c r="Q10" i="7"/>
  <c r="R10" i="7" s="1"/>
  <c r="G29" i="8"/>
  <c r="BQ102" i="10"/>
  <c r="F127" i="10"/>
  <c r="E19" i="8"/>
  <c r="F144" i="10"/>
  <c r="F122" i="10"/>
  <c r="BQ132" i="10"/>
  <c r="F76" i="10"/>
  <c r="F67" i="10"/>
  <c r="F142" i="10"/>
  <c r="C18" i="2"/>
  <c r="C27" i="2" s="1"/>
  <c r="C27" i="1" s="1"/>
  <c r="C28" i="1" s="1"/>
  <c r="C32" i="1" s="1"/>
  <c r="C35" i="1" s="1"/>
  <c r="B21" i="8" s="1"/>
  <c r="C28" i="2"/>
  <c r="B6" i="8"/>
  <c r="C18" i="1"/>
  <c r="C61" i="1" s="1"/>
  <c r="F120" i="10"/>
  <c r="F132" i="10"/>
  <c r="F149" i="10"/>
  <c r="F145" i="10"/>
  <c r="BQ122" i="10"/>
  <c r="F109" i="10"/>
  <c r="F146" i="10"/>
  <c r="F10" i="10"/>
  <c r="F7" i="10"/>
  <c r="BQ141" i="10"/>
  <c r="BQ128" i="10"/>
  <c r="F141" i="10"/>
  <c r="F12" i="10"/>
  <c r="F97" i="10"/>
  <c r="F118" i="10"/>
  <c r="BQ144" i="10"/>
  <c r="BQ139" i="10"/>
  <c r="BQ130" i="10"/>
  <c r="BQ120" i="10"/>
  <c r="BQ116" i="10"/>
  <c r="BQ111" i="10"/>
  <c r="BQ99" i="10"/>
  <c r="F129" i="10"/>
  <c r="BQ143" i="10"/>
  <c r="BQ119" i="10"/>
  <c r="F110" i="10"/>
  <c r="F121" i="10"/>
  <c r="BQ142" i="10"/>
  <c r="BQ124" i="10"/>
  <c r="BQ115" i="10"/>
  <c r="BQ106" i="10"/>
  <c r="F90" i="10"/>
  <c r="F27" i="10"/>
  <c r="F61" i="10"/>
  <c r="F62" i="10"/>
  <c r="F115" i="10"/>
  <c r="F128" i="10"/>
  <c r="F66" i="10"/>
  <c r="F77" i="10"/>
  <c r="F137" i="10"/>
  <c r="BQ76" i="10"/>
  <c r="BQ79" i="10"/>
  <c r="F135" i="10"/>
  <c r="F73" i="10"/>
  <c r="D43" i="1"/>
  <c r="BQ93" i="10"/>
  <c r="F65" i="10"/>
  <c r="F75" i="10"/>
  <c r="F82" i="10"/>
  <c r="BQ82" i="10"/>
  <c r="D17" i="5"/>
  <c r="BQ78" i="10"/>
  <c r="F50" i="10"/>
  <c r="F119" i="10"/>
  <c r="BQ121" i="10"/>
  <c r="BQ72" i="10"/>
  <c r="BQ107" i="10"/>
  <c r="F93" i="10"/>
  <c r="F126" i="10"/>
  <c r="F65" i="1"/>
  <c r="E38" i="8" s="1"/>
  <c r="D54" i="1"/>
  <c r="BQ134" i="10"/>
  <c r="BQ129" i="10"/>
  <c r="BQ127" i="10"/>
  <c r="BQ98" i="10"/>
  <c r="BQ83" i="10"/>
  <c r="BQ77" i="10"/>
  <c r="BQ73" i="10"/>
  <c r="F33" i="10"/>
  <c r="F17" i="10"/>
  <c r="F74" i="10"/>
  <c r="F143" i="10"/>
  <c r="F79" i="10"/>
  <c r="F80" i="10"/>
  <c r="BQ140" i="10"/>
  <c r="BQ117" i="10"/>
  <c r="BQ113" i="10"/>
  <c r="BQ109" i="10"/>
  <c r="BQ90" i="10"/>
  <c r="BQ74" i="10"/>
  <c r="D40" i="5"/>
  <c r="F83" i="10"/>
  <c r="F69" i="10"/>
  <c r="D42" i="5"/>
  <c r="D46" i="5"/>
  <c r="F63" i="10"/>
  <c r="D35" i="5"/>
  <c r="F78" i="10"/>
  <c r="D18" i="5"/>
  <c r="D11" i="3"/>
  <c r="F103" i="10"/>
  <c r="BQ69" i="10"/>
  <c r="BQ55" i="10"/>
  <c r="BQ16" i="10"/>
  <c r="F130" i="10"/>
  <c r="D41" i="1"/>
  <c r="F55" i="10"/>
  <c r="D11" i="4"/>
  <c r="F117" i="10"/>
  <c r="BQ135" i="10"/>
  <c r="BQ100" i="10"/>
  <c r="D10" i="5"/>
  <c r="F9" i="10"/>
  <c r="BQ12" i="10"/>
  <c r="D50" i="1"/>
  <c r="F139" i="10"/>
  <c r="BQ138" i="10"/>
  <c r="BQ118" i="10"/>
  <c r="BQ32" i="10"/>
  <c r="BQ29" i="10"/>
  <c r="BQ18" i="10"/>
  <c r="D7" i="5"/>
  <c r="F11" i="10"/>
  <c r="D65" i="1"/>
  <c r="C38" i="8" s="1"/>
  <c r="F28" i="10"/>
  <c r="D55" i="1"/>
  <c r="F32" i="10"/>
  <c r="D7" i="3"/>
  <c r="F124" i="10"/>
  <c r="D5" i="2"/>
  <c r="F99" i="10"/>
  <c r="D12" i="1"/>
  <c r="D14" i="1" s="1"/>
  <c r="F15" i="10"/>
  <c r="D7" i="1"/>
  <c r="F16" i="10"/>
  <c r="BQ103" i="10"/>
  <c r="BQ80" i="10"/>
  <c r="BQ64" i="10"/>
  <c r="BQ45" i="10"/>
  <c r="D38" i="1"/>
  <c r="D24" i="2"/>
  <c r="F64" i="10"/>
  <c r="F52" i="10"/>
  <c r="F68" i="10"/>
  <c r="A2" i="13"/>
  <c r="F13" i="10"/>
  <c r="F125" i="10"/>
  <c r="F133" i="10"/>
  <c r="F60" i="5"/>
  <c r="F52" i="5"/>
  <c r="D43" i="5"/>
  <c r="Q12" i="7"/>
  <c r="T12" i="7"/>
  <c r="U12" i="7" s="1"/>
  <c r="V12" i="7" s="1"/>
  <c r="L12" i="7" s="1"/>
  <c r="N35" i="7"/>
  <c r="R33" i="7"/>
  <c r="Q38" i="7"/>
  <c r="H40" i="7"/>
  <c r="T38" i="7"/>
  <c r="U38" i="7" s="1"/>
  <c r="V38" i="7" s="1"/>
  <c r="L38" i="7" s="1"/>
  <c r="Q35" i="7"/>
  <c r="R35" i="7" s="1"/>
  <c r="D45" i="1"/>
  <c r="F140" i="10"/>
  <c r="Q8" i="7"/>
  <c r="R8" i="7" s="1"/>
  <c r="T8" i="7"/>
  <c r="U8" i="7" s="1"/>
  <c r="V8" i="7" s="1"/>
  <c r="L8" i="7" s="1"/>
  <c r="Q11" i="7"/>
  <c r="R11" i="7" s="1"/>
  <c r="N62" i="7"/>
  <c r="L62" i="7"/>
  <c r="Q62" i="7"/>
  <c r="R62" i="7" s="1"/>
  <c r="J62" i="7"/>
  <c r="C51" i="1"/>
  <c r="B25" i="8" s="1"/>
  <c r="T36" i="7"/>
  <c r="U36" i="7" s="1"/>
  <c r="V36" i="7" s="1"/>
  <c r="N36" i="7" s="1"/>
  <c r="H14" i="7"/>
  <c r="Q7" i="7"/>
  <c r="J7" i="7"/>
  <c r="N7" i="7"/>
  <c r="T67" i="7"/>
  <c r="U67" i="7" s="1"/>
  <c r="V67" i="7" s="1"/>
  <c r="N67" i="7" s="1"/>
  <c r="T13" i="7"/>
  <c r="U13" i="7" s="1"/>
  <c r="V13" i="7" s="1"/>
  <c r="J13" i="7" s="1"/>
  <c r="N9" i="7"/>
  <c r="Q64" i="7"/>
  <c r="R64" i="7" s="1"/>
  <c r="T64" i="7"/>
  <c r="U64" i="7" s="1"/>
  <c r="V64" i="7" s="1"/>
  <c r="T11" i="7"/>
  <c r="U11" i="7" s="1"/>
  <c r="V11" i="7" s="1"/>
  <c r="L11" i="7" s="1"/>
  <c r="Q34" i="7"/>
  <c r="R34" i="7" s="1"/>
  <c r="L34" i="7"/>
  <c r="R61" i="7"/>
  <c r="L37" i="7"/>
  <c r="J37" i="7"/>
  <c r="Q37" i="7"/>
  <c r="R37" i="7" s="1"/>
  <c r="Q63" i="7"/>
  <c r="R63" i="7" s="1"/>
  <c r="T63" i="7"/>
  <c r="U63" i="7" s="1"/>
  <c r="V63" i="7" s="1"/>
  <c r="N63" i="7" s="1"/>
  <c r="C62" i="5"/>
  <c r="N37" i="7"/>
  <c r="J35" i="7"/>
  <c r="T65" i="7"/>
  <c r="U65" i="7" s="1"/>
  <c r="V65" i="7" s="1"/>
  <c r="J65" i="7" s="1"/>
  <c r="Q65" i="7"/>
  <c r="R65" i="7" s="1"/>
  <c r="Q36" i="7"/>
  <c r="R36" i="7" s="1"/>
  <c r="T33" i="7"/>
  <c r="U33" i="7" s="1"/>
  <c r="V33" i="7" s="1"/>
  <c r="J10" i="7"/>
  <c r="L10" i="7"/>
  <c r="D19" i="11"/>
  <c r="G3" i="11" s="1"/>
  <c r="G4" i="11"/>
  <c r="C19" i="8"/>
  <c r="G19" i="8"/>
  <c r="L9" i="7"/>
  <c r="N39" i="7"/>
  <c r="H68" i="7"/>
  <c r="D79" i="1"/>
  <c r="C46" i="8" s="1"/>
  <c r="D17" i="2"/>
  <c r="T66" i="7"/>
  <c r="U66" i="7" s="1"/>
  <c r="V66" i="7" s="1"/>
  <c r="N66" i="7" s="1"/>
  <c r="F71" i="10"/>
  <c r="D58" i="5"/>
  <c r="Q66" i="7"/>
  <c r="D10" i="2"/>
  <c r="L39" i="7"/>
  <c r="Q9" i="7"/>
  <c r="R9" i="7" s="1"/>
  <c r="T61" i="7"/>
  <c r="U61" i="7" s="1"/>
  <c r="V61" i="7" s="1"/>
  <c r="J61" i="7" s="1"/>
  <c r="D37" i="5"/>
  <c r="F70" i="10"/>
  <c r="C67" i="5" l="1"/>
  <c r="C81" i="1" s="1"/>
  <c r="B48" i="8" s="1"/>
  <c r="C75" i="1"/>
  <c r="C76" i="1" s="1"/>
  <c r="B33" i="8"/>
  <c r="C70" i="1"/>
  <c r="D49" i="5"/>
  <c r="G35" i="1"/>
  <c r="H32" i="1"/>
  <c r="E14" i="13"/>
  <c r="D60" i="5"/>
  <c r="D13" i="5"/>
  <c r="D38" i="5"/>
  <c r="N10" i="5"/>
  <c r="D44" i="5"/>
  <c r="D22" i="5"/>
  <c r="D30" i="5" s="1"/>
  <c r="C80" i="1"/>
  <c r="B47" i="8" s="1"/>
  <c r="C68" i="5"/>
  <c r="C82" i="1" s="1"/>
  <c r="M77" i="1"/>
  <c r="F7" i="2"/>
  <c r="V40" i="7"/>
  <c r="N38" i="7"/>
  <c r="F17" i="2"/>
  <c r="F12" i="3"/>
  <c r="F8" i="1"/>
  <c r="E6" i="8" s="1"/>
  <c r="F14" i="1"/>
  <c r="F28" i="2" s="1"/>
  <c r="D7" i="2"/>
  <c r="F49" i="5"/>
  <c r="N61" i="7"/>
  <c r="J38" i="7"/>
  <c r="J66" i="7"/>
  <c r="F22" i="5"/>
  <c r="D12" i="3"/>
  <c r="D29" i="1" s="1"/>
  <c r="J36" i="7"/>
  <c r="B46" i="7"/>
  <c r="L66" i="7"/>
  <c r="F24" i="2"/>
  <c r="B17" i="7"/>
  <c r="L61" i="7"/>
  <c r="N13" i="7"/>
  <c r="L36" i="7"/>
  <c r="N8" i="7"/>
  <c r="B43" i="7"/>
  <c r="J8" i="7"/>
  <c r="C29" i="2"/>
  <c r="J33" i="7"/>
  <c r="B47" i="7"/>
  <c r="L33" i="7"/>
  <c r="L40" i="7" s="1"/>
  <c r="J67" i="7"/>
  <c r="J12" i="7"/>
  <c r="B13" i="8"/>
  <c r="B10" i="8"/>
  <c r="G5" i="11"/>
  <c r="D8" i="1"/>
  <c r="G6" i="8" s="1"/>
  <c r="F29" i="5"/>
  <c r="E23" i="8"/>
  <c r="F38" i="5"/>
  <c r="D57" i="1"/>
  <c r="D13" i="4"/>
  <c r="D30" i="1" s="1"/>
  <c r="D42" i="1"/>
  <c r="E25" i="8"/>
  <c r="F13" i="4"/>
  <c r="F30" i="1" s="1"/>
  <c r="D28" i="2"/>
  <c r="C8" i="8"/>
  <c r="C42" i="8" s="1"/>
  <c r="C44" i="8" s="1"/>
  <c r="J10" i="3"/>
  <c r="N11" i="7"/>
  <c r="V14" i="7"/>
  <c r="L63" i="7"/>
  <c r="N33" i="7"/>
  <c r="N40" i="7" s="1"/>
  <c r="N12" i="7"/>
  <c r="N65" i="7"/>
  <c r="Q68" i="7"/>
  <c r="B73" i="7"/>
  <c r="R66" i="7"/>
  <c r="L65" i="7"/>
  <c r="B75" i="7" s="1"/>
  <c r="J63" i="7"/>
  <c r="R7" i="7"/>
  <c r="Q14" i="7"/>
  <c r="L13" i="7"/>
  <c r="B20" i="7" s="1"/>
  <c r="B45" i="7"/>
  <c r="R38" i="7"/>
  <c r="D51" i="1"/>
  <c r="C63" i="5"/>
  <c r="R12" i="7"/>
  <c r="B19" i="7"/>
  <c r="J64" i="7"/>
  <c r="L64" i="7"/>
  <c r="N64" i="7"/>
  <c r="V68" i="7"/>
  <c r="B71" i="7"/>
  <c r="L67" i="7"/>
  <c r="J11" i="7"/>
  <c r="Q40" i="7"/>
  <c r="F21" i="8" l="1"/>
  <c r="H35" i="1"/>
  <c r="G62" i="1"/>
  <c r="E17" i="8"/>
  <c r="E151" i="14"/>
  <c r="F29" i="1"/>
  <c r="E15" i="8" s="1"/>
  <c r="E147" i="14"/>
  <c r="F18" i="2"/>
  <c r="F27" i="2" s="1"/>
  <c r="F30" i="5"/>
  <c r="G27" i="8"/>
  <c r="C27" i="8"/>
  <c r="D18" i="2"/>
  <c r="D27" i="2" s="1"/>
  <c r="J40" i="7"/>
  <c r="B74" i="7"/>
  <c r="N68" i="7"/>
  <c r="E8" i="8"/>
  <c r="E42" i="8" s="1"/>
  <c r="E44" i="8" s="1"/>
  <c r="F18" i="1"/>
  <c r="F61" i="1" s="1"/>
  <c r="B18" i="7"/>
  <c r="J68" i="7"/>
  <c r="C23" i="8"/>
  <c r="D59" i="1"/>
  <c r="N14" i="7"/>
  <c r="J14" i="7"/>
  <c r="L68" i="7"/>
  <c r="B44" i="7"/>
  <c r="B48" i="7" s="1"/>
  <c r="L14" i="7"/>
  <c r="B72" i="7"/>
  <c r="B76" i="7" s="1"/>
  <c r="C6" i="8"/>
  <c r="D18" i="1"/>
  <c r="D61" i="1" s="1"/>
  <c r="D70" i="1" s="1"/>
  <c r="F62" i="5"/>
  <c r="F75" i="1" s="1"/>
  <c r="D66" i="5"/>
  <c r="D74" i="1"/>
  <c r="F74" i="1"/>
  <c r="F66" i="5"/>
  <c r="D62" i="5"/>
  <c r="B21" i="7"/>
  <c r="B22" i="7" s="1"/>
  <c r="G15" i="8"/>
  <c r="C15" i="8"/>
  <c r="C42" i="1"/>
  <c r="C25" i="8"/>
  <c r="G25" i="8"/>
  <c r="C17" i="8"/>
  <c r="G17" i="8"/>
  <c r="G71" i="1" l="1"/>
  <c r="G72" i="1" s="1"/>
  <c r="H62" i="1"/>
  <c r="G66" i="1"/>
  <c r="F39" i="8" s="1"/>
  <c r="F34" i="8"/>
  <c r="E31" i="8"/>
  <c r="E139" i="14"/>
  <c r="E140" i="14" s="1"/>
  <c r="F27" i="1"/>
  <c r="E143" i="14"/>
  <c r="D67" i="5"/>
  <c r="D81" i="1" s="1"/>
  <c r="C48" i="8" s="1"/>
  <c r="F80" i="1"/>
  <c r="E47" i="8" s="1"/>
  <c r="G76" i="1"/>
  <c r="E10" i="8"/>
  <c r="C31" i="8"/>
  <c r="F29" i="2"/>
  <c r="G33" i="8"/>
  <c r="G10" i="8"/>
  <c r="C33" i="8"/>
  <c r="C10" i="8"/>
  <c r="D63" i="5"/>
  <c r="D75" i="1"/>
  <c r="D76" i="1" s="1"/>
  <c r="F63" i="5"/>
  <c r="F67" i="5"/>
  <c r="D80" i="1"/>
  <c r="C47" i="8" s="1"/>
  <c r="F70" i="1"/>
  <c r="E33" i="8"/>
  <c r="F76" i="1"/>
  <c r="B49" i="8"/>
  <c r="B36" i="8"/>
  <c r="C59" i="1"/>
  <c r="B23" i="8"/>
  <c r="G23" i="8"/>
  <c r="D27" i="1"/>
  <c r="D29" i="2"/>
  <c r="L76" i="1" l="1"/>
  <c r="L78" i="1" s="1"/>
  <c r="L81" i="1" s="1"/>
  <c r="H12" i="13"/>
  <c r="F28" i="1"/>
  <c r="F32" i="1" s="1"/>
  <c r="D68" i="5"/>
  <c r="D82" i="1" s="1"/>
  <c r="C49" i="8" s="1"/>
  <c r="F81" i="1"/>
  <c r="E48" i="8" s="1"/>
  <c r="F68" i="5"/>
  <c r="F82" i="1" s="1"/>
  <c r="E49" i="8" s="1"/>
  <c r="B31" i="8"/>
  <c r="C62" i="1"/>
  <c r="C71" i="1" s="1"/>
  <c r="C72" i="1" s="1"/>
  <c r="G31" i="8"/>
  <c r="D28" i="1"/>
  <c r="F35" i="1" l="1"/>
  <c r="F62" i="1" s="1"/>
  <c r="E13" i="8"/>
  <c r="B34" i="8"/>
  <c r="C66" i="1"/>
  <c r="D12" i="13" s="1"/>
  <c r="D16" i="13" s="1"/>
  <c r="D32" i="1"/>
  <c r="C13" i="8"/>
  <c r="G13" i="8"/>
  <c r="E21" i="8" l="1"/>
  <c r="E154" i="14"/>
  <c r="E155" i="14" s="1"/>
  <c r="F71" i="1"/>
  <c r="F72" i="1" s="1"/>
  <c r="E34" i="8"/>
  <c r="F66" i="1"/>
  <c r="K76" i="1" s="1"/>
  <c r="B39" i="8"/>
  <c r="D35" i="1"/>
  <c r="G12" i="13" l="1"/>
  <c r="K78" i="1"/>
  <c r="K81" i="1" s="1"/>
  <c r="E39" i="8"/>
  <c r="D62" i="1"/>
  <c r="C21" i="8"/>
  <c r="G21" i="8"/>
  <c r="D71" i="1" l="1"/>
  <c r="D72" i="1" s="1"/>
  <c r="G34" i="8"/>
  <c r="C34" i="8"/>
  <c r="D66" i="1"/>
  <c r="E12" i="13" l="1"/>
  <c r="E16" i="13" s="1"/>
  <c r="M76" i="1"/>
  <c r="M78" i="1" s="1"/>
  <c r="M81" i="1" s="1"/>
  <c r="C39" i="8"/>
  <c r="G6" i="13" l="1"/>
  <c r="G16" i="13" s="1"/>
  <c r="H6" i="13"/>
  <c r="H16" i="13" s="1"/>
  <c r="F6" i="13"/>
  <c r="F16" i="13" s="1"/>
</calcChain>
</file>

<file path=xl/sharedStrings.xml><?xml version="1.0" encoding="utf-8"?>
<sst xmlns="http://schemas.openxmlformats.org/spreadsheetml/2006/main" count="6716" uniqueCount="1042">
  <si>
    <t>REVENUES</t>
  </si>
  <si>
    <t>AD VALOREM TAXES &amp; INTR.</t>
  </si>
  <si>
    <t>Ad Valorem Taxes</t>
  </si>
  <si>
    <t>Interest earned</t>
  </si>
  <si>
    <t>SPONSORSHIP RAISED</t>
  </si>
  <si>
    <t>Sponsorship Income - Marketing</t>
  </si>
  <si>
    <t xml:space="preserve">Miscellaneous Income </t>
  </si>
  <si>
    <t>Downtown Guide Book Income</t>
  </si>
  <si>
    <t>Howard Alan Events</t>
  </si>
  <si>
    <t>DDA</t>
  </si>
  <si>
    <t>Funds Allocated Brought Forward from Previous Financial Year</t>
  </si>
  <si>
    <t>oss</t>
  </si>
  <si>
    <t>Provision of Uncollectible Receivable</t>
  </si>
  <si>
    <t>TOTAL REVENUES</t>
  </si>
  <si>
    <t>EXPENDITURES:</t>
  </si>
  <si>
    <t>DEVELOPMENT DDA DISTRICT ECONOMY</t>
  </si>
  <si>
    <t>MARKETING DDA DISTRICT</t>
  </si>
  <si>
    <t>Website Design &amp; Update</t>
  </si>
  <si>
    <t>Public Relations &amp; Communication</t>
  </si>
  <si>
    <t>Misc Advertising</t>
  </si>
  <si>
    <t>DDA Program Marketing Totals</t>
  </si>
  <si>
    <t>TOTAL MARKETING DDA DISTRICT</t>
  </si>
  <si>
    <t>ECONOMIC  VITALITY / DEVELOPMENT</t>
  </si>
  <si>
    <t>PLACEMAKING/CLEAN AND SAFE</t>
  </si>
  <si>
    <t>Delray Beach Old School Square</t>
  </si>
  <si>
    <t>TOTAL DEVELOPMENT DDA DISTRICT ECONOMY</t>
  </si>
  <si>
    <t>TOTAL DDA DISTRICT GRANTS</t>
  </si>
  <si>
    <t>Downtown Camera Project</t>
  </si>
  <si>
    <t>TOTAL BUSINESS DEVELOPMENT</t>
  </si>
  <si>
    <t>Expenditures Office/Administrative</t>
  </si>
  <si>
    <t xml:space="preserve">DDA Payroll </t>
  </si>
  <si>
    <t>P/R Taxes,SUTA,FUTA</t>
  </si>
  <si>
    <t>Health Insurance</t>
  </si>
  <si>
    <t>Worker's Comp, Ins</t>
  </si>
  <si>
    <t>Retirement</t>
  </si>
  <si>
    <t>Payroll Expenses Total</t>
  </si>
  <si>
    <t>Independent Contractor</t>
  </si>
  <si>
    <t>External Audit Fees</t>
  </si>
  <si>
    <t>Bookkeeping &amp; Payroll Svcs</t>
  </si>
  <si>
    <t>Dues, Subscriptions</t>
  </si>
  <si>
    <t>Board Liability Ins + Office Contents</t>
  </si>
  <si>
    <t>Property Appraiser Fee</t>
  </si>
  <si>
    <t>Meetings, Conferences, Training</t>
  </si>
  <si>
    <t>Legal Fees</t>
  </si>
  <si>
    <t>Operational Expenses Total</t>
  </si>
  <si>
    <t>Car allowance</t>
  </si>
  <si>
    <t>Phones</t>
  </si>
  <si>
    <t>Office Supplies &amp; repairs etc</t>
  </si>
  <si>
    <t>Postages &amp; Printing</t>
  </si>
  <si>
    <t>Office rental</t>
  </si>
  <si>
    <t>Office Expenses Total</t>
  </si>
  <si>
    <t>Capital Expenditure</t>
  </si>
  <si>
    <t>Total Office/Administrative</t>
  </si>
  <si>
    <t>Total Revenues</t>
  </si>
  <si>
    <t>Less Total Expenses</t>
  </si>
  <si>
    <t>Less Bad Debt</t>
  </si>
  <si>
    <t>OSS Net Loss for the Year</t>
  </si>
  <si>
    <t>Less Fraud Expneses</t>
  </si>
  <si>
    <t>Net Income for year</t>
  </si>
  <si>
    <t>OSS1</t>
  </si>
  <si>
    <t>OSS2</t>
  </si>
  <si>
    <t>Less Delray Beach Old School Square Expenses</t>
  </si>
  <si>
    <t>OSS3</t>
  </si>
  <si>
    <t>OSS Net Income for the Year</t>
  </si>
  <si>
    <r>
      <rPr>
        <b/>
        <u/>
        <sz val="14"/>
        <color indexed="8"/>
        <rFont val="Calibri"/>
        <family val="2"/>
        <scheme val="minor"/>
      </rPr>
      <t>A</t>
    </r>
    <r>
      <rPr>
        <b/>
        <sz val="14"/>
        <color indexed="8"/>
        <rFont val="Calibri"/>
        <family val="2"/>
        <scheme val="minor"/>
      </rPr>
      <t xml:space="preserve">
Revenue &amp; Expenses</t>
    </r>
  </si>
  <si>
    <r>
      <t xml:space="preserve">B
</t>
    </r>
    <r>
      <rPr>
        <b/>
        <sz val="11"/>
        <color rgb="FF000000"/>
        <rFont val="Arial Narrow"/>
        <family val="2"/>
      </rPr>
      <t>MARKETING DDA DISTRICT TOTAL</t>
    </r>
  </si>
  <si>
    <t>CREATIVE DESIGN &amp; PRINTING</t>
  </si>
  <si>
    <t>All Creative</t>
  </si>
  <si>
    <t xml:space="preserve">Printing - Brochure </t>
  </si>
  <si>
    <t>LOCAL PRINT ADVERTISING</t>
  </si>
  <si>
    <t>Newspapers</t>
  </si>
  <si>
    <t>Social Media &amp; Online advertising</t>
  </si>
  <si>
    <t>MEDIA ADVERTISING</t>
  </si>
  <si>
    <t>TV Commercial advertising</t>
  </si>
  <si>
    <t>Video Production</t>
  </si>
  <si>
    <t>TOTAL MONTHLY CAMPAIGN</t>
  </si>
  <si>
    <t>LOCAL/REGIONAL/NTL PUBLICATIONS</t>
  </si>
  <si>
    <t>Delray Beach Magazine</t>
  </si>
  <si>
    <t>Boca Magazine</t>
  </si>
  <si>
    <t>Other Publications</t>
  </si>
  <si>
    <t>Visit Florida Annual Trav. Magazine/Coop</t>
  </si>
  <si>
    <t>DOWNTOWN PROGRAMS and EVENTS</t>
  </si>
  <si>
    <t>Marketing Expense Miscellaneous</t>
  </si>
  <si>
    <t>DDA PROGRAM MARKETING TOTALS</t>
  </si>
  <si>
    <t>LESS EXPS - SPONSOR TO BE RAISED</t>
  </si>
  <si>
    <t>TOT MARKETING DDA DISTRICT EXPENSES BUDGET</t>
  </si>
  <si>
    <r>
      <rPr>
        <b/>
        <u/>
        <sz val="11"/>
        <color rgb="FF000000"/>
        <rFont val="Arial Narrow"/>
        <family val="2"/>
      </rPr>
      <t>C</t>
    </r>
    <r>
      <rPr>
        <b/>
        <sz val="11"/>
        <color indexed="8"/>
        <rFont val="Arial Narrow"/>
        <family val="2"/>
      </rPr>
      <t xml:space="preserve">
ECONOMIC VITALITY AND DOWNTOWN DEVELOPMENT </t>
    </r>
  </si>
  <si>
    <t>DETAIL ITEMS</t>
  </si>
  <si>
    <t xml:space="preserve">Annual Report </t>
  </si>
  <si>
    <t xml:space="preserve">Email Messaging (B2B) </t>
  </si>
  <si>
    <t xml:space="preserve">Business Developmant Materials </t>
  </si>
  <si>
    <t xml:space="preserve">Database and Inventory Management </t>
  </si>
  <si>
    <t xml:space="preserve">Research and Development Plans </t>
  </si>
  <si>
    <t xml:space="preserve">Visitor Information Center </t>
  </si>
  <si>
    <t xml:space="preserve">TOTAL ECONOMIC VITALITY </t>
  </si>
  <si>
    <t>Street Pole Banner Management</t>
  </si>
  <si>
    <t>Decorative Lighting Annual program</t>
  </si>
  <si>
    <t xml:space="preserve">Holiday Lighting </t>
  </si>
  <si>
    <t>Downtown Safety Ambassador Program</t>
  </si>
  <si>
    <t xml:space="preserve">Downtown Parking </t>
  </si>
  <si>
    <t>Signage and Kiosks</t>
  </si>
  <si>
    <t>Downtown Beautification - Clean/ Amenities/Public Art</t>
  </si>
  <si>
    <t xml:space="preserve">TOTAL PLACEMAKING </t>
  </si>
  <si>
    <t>OSS#</t>
  </si>
  <si>
    <t>Revenues</t>
  </si>
  <si>
    <t>Funding</t>
  </si>
  <si>
    <t>Donations</t>
  </si>
  <si>
    <t>Sponsorship</t>
  </si>
  <si>
    <t>Venue Rentals</t>
  </si>
  <si>
    <t>OSS Program Income</t>
  </si>
  <si>
    <t>Museum Store</t>
  </si>
  <si>
    <t>OSS Revenue Brought Forward from Prev FY</t>
  </si>
  <si>
    <t>Total Revenues:</t>
  </si>
  <si>
    <t>EXPENSES</t>
  </si>
  <si>
    <t>OPERATIONS</t>
  </si>
  <si>
    <t xml:space="preserve">Event/Campus Coordinator </t>
  </si>
  <si>
    <t>Cultural Arts Director</t>
  </si>
  <si>
    <t>Cornell Part Time Staff Member</t>
  </si>
  <si>
    <t>DDA Team Management</t>
  </si>
  <si>
    <t>Special Events Manager</t>
  </si>
  <si>
    <t>Other Contract Staff</t>
  </si>
  <si>
    <t>Campus Security (Ambassadors)</t>
  </si>
  <si>
    <t>Administrative and Facility Expenses</t>
  </si>
  <si>
    <t>Equipment Costs</t>
  </si>
  <si>
    <t>Additional Insurance</t>
  </si>
  <si>
    <t>TOTAL OPERATIONS:</t>
  </si>
  <si>
    <t>MARKETING</t>
  </si>
  <si>
    <t xml:space="preserve">New Website </t>
  </si>
  <si>
    <t xml:space="preserve">Creative </t>
  </si>
  <si>
    <t xml:space="preserve">Printing </t>
  </si>
  <si>
    <t>Advertising</t>
  </si>
  <si>
    <t>Public Relations</t>
  </si>
  <si>
    <t>TOTAL MARKETING:</t>
  </si>
  <si>
    <t>CORNELL EXHIBITIONS/ACTIVATIONS</t>
  </si>
  <si>
    <t>Museum Store Expenses</t>
  </si>
  <si>
    <t>Rotating Exibitions</t>
  </si>
  <si>
    <t>Museum Activations (events and activations)</t>
  </si>
  <si>
    <t>New Exhibition</t>
  </si>
  <si>
    <t>TOTAL:</t>
  </si>
  <si>
    <t>AMPHITHEATER and PARK</t>
  </si>
  <si>
    <t>Events and Activations</t>
  </si>
  <si>
    <t>Summer Festivals</t>
  </si>
  <si>
    <t xml:space="preserve">BUSINESS PLAN </t>
  </si>
  <si>
    <t>Professional Advisor - Strat Plan</t>
  </si>
  <si>
    <t xml:space="preserve">SEASONAL LIGHTING </t>
  </si>
  <si>
    <t>TOTAL :</t>
  </si>
  <si>
    <t>PLACEMAKING</t>
  </si>
  <si>
    <t>Grounds Maintenace</t>
  </si>
  <si>
    <t xml:space="preserve">TOTAL: </t>
  </si>
  <si>
    <t>TOTAL EXPENSE:</t>
  </si>
  <si>
    <t>Downtown Activation Manager</t>
  </si>
  <si>
    <t>Daniele Morien</t>
  </si>
  <si>
    <t>Marketing and Business Development Manager</t>
  </si>
  <si>
    <t>Devine Dewane</t>
  </si>
  <si>
    <t>Marketing Director</t>
  </si>
  <si>
    <t>Boyd, Susanne E</t>
  </si>
  <si>
    <t>Executive Director</t>
  </si>
  <si>
    <t>Simon, Laura</t>
  </si>
  <si>
    <t xml:space="preserve">Gatto, Marusca </t>
  </si>
  <si>
    <t>Operations Coordinator</t>
  </si>
  <si>
    <t xml:space="preserve"> Brites Fino, Liliana M</t>
  </si>
  <si>
    <t>Visitor Services Coordinator</t>
  </si>
  <si>
    <t>B.J. Sklar</t>
  </si>
  <si>
    <t>Name</t>
  </si>
  <si>
    <t>Start Date</t>
  </si>
  <si>
    <t xml:space="preserve">Increase </t>
  </si>
  <si>
    <t>%</t>
  </si>
  <si>
    <t>Position</t>
  </si>
  <si>
    <t>Updated</t>
  </si>
  <si>
    <t>Bi Monthly</t>
  </si>
  <si>
    <t>Bi Montly</t>
  </si>
  <si>
    <t xml:space="preserve">Post </t>
  </si>
  <si>
    <t>Increase</t>
  </si>
  <si>
    <t>Total Salary</t>
  </si>
  <si>
    <t>Annual Employer PR Taxes</t>
  </si>
  <si>
    <t>State Taxes</t>
  </si>
  <si>
    <t xml:space="preserve">Retirement </t>
  </si>
  <si>
    <t>Cellphone Allowance</t>
  </si>
  <si>
    <t>Federal</t>
  </si>
  <si>
    <t>FL/ Reemp</t>
  </si>
  <si>
    <t xml:space="preserve">Annual </t>
  </si>
  <si>
    <t xml:space="preserve">Montly </t>
  </si>
  <si>
    <t>Rate</t>
  </si>
  <si>
    <t>Soc. % / Max</t>
  </si>
  <si>
    <t>Med. %/ Max</t>
  </si>
  <si>
    <t>%/ Max</t>
  </si>
  <si>
    <t>Contribution</t>
  </si>
  <si>
    <t>Montly</t>
  </si>
  <si>
    <t>Annual</t>
  </si>
  <si>
    <t>Amount</t>
  </si>
  <si>
    <t>Annual Budget Line impact:</t>
  </si>
  <si>
    <t>Total Pay Roll (BL-A23)</t>
  </si>
  <si>
    <t>Total Employer Taxes (BL-A24)</t>
  </si>
  <si>
    <t>Total Retirement Contribution (BL-A27)</t>
  </si>
  <si>
    <t>Total Pay Roll + Employer Taxes  (BL-C6)</t>
  </si>
  <si>
    <t>Total DB Oss Event/Campus Manager (OSS#6)</t>
  </si>
  <si>
    <t>Total</t>
  </si>
  <si>
    <t>DBDDA Payroll Expense projections for Finacial Year 2024_25 based on payroll as at June 15th 2024</t>
  </si>
  <si>
    <t>based on lst year budget +4%</t>
  </si>
  <si>
    <t>Retirement based on 4% increase as of OCT 1 2024 all Employees except BJ</t>
  </si>
  <si>
    <t>Add ninety dollars for increase for the year</t>
  </si>
  <si>
    <t>Add thousand as increase for the year</t>
  </si>
  <si>
    <t xml:space="preserve">Rounded </t>
  </si>
  <si>
    <t>Covers Increase(3%) in May 2024</t>
  </si>
  <si>
    <t>EXPENDITURE
DEVELOPMENT DDA DISTRICT ECONOMY</t>
  </si>
  <si>
    <t>Payroll Expenses</t>
  </si>
  <si>
    <t>Operational Expenses</t>
  </si>
  <si>
    <t>Office Expenses</t>
  </si>
  <si>
    <t>Raised Revenues - Private</t>
  </si>
  <si>
    <t>IN KIND REVENUES</t>
  </si>
  <si>
    <t>Total Raised Revenues</t>
  </si>
  <si>
    <t xml:space="preserve">DB OSS </t>
  </si>
  <si>
    <t>DB Old School Square Revenue</t>
  </si>
  <si>
    <t>DB Beach Old School  Expemses</t>
  </si>
  <si>
    <t>TOTAL PAYROLL</t>
  </si>
  <si>
    <t xml:space="preserve"> Signage</t>
  </si>
  <si>
    <t>NOTES</t>
  </si>
  <si>
    <t xml:space="preserve">Enhance Lighting for Libby Wesley Plaza </t>
  </si>
  <si>
    <t xml:space="preserve">Recommend to move B22 to Economic Vitality </t>
  </si>
  <si>
    <t>(Ticket Sales, Concession, Vendor Fees)</t>
  </si>
  <si>
    <t>Holiday &amp; Decorative Lighting</t>
  </si>
  <si>
    <t>Outdoor Art or Games Installation</t>
  </si>
  <si>
    <t>Downtown Retail &amp; Rest. Guide Book</t>
  </si>
  <si>
    <t>Includes payroll increases and addition of the VIC Manager removed from the VIC Line Item</t>
  </si>
  <si>
    <t xml:space="preserve">Summer Advertising </t>
  </si>
  <si>
    <t>Additional PG Banners, West Settlers Banners, Welcome and SET banners - JULY 4th - NEW</t>
  </si>
  <si>
    <r>
      <rPr>
        <b/>
        <u/>
        <sz val="11"/>
        <color rgb="FF000000"/>
        <rFont val="Arial Narrow"/>
        <family val="2"/>
      </rPr>
      <t>D</t>
    </r>
    <r>
      <rPr>
        <b/>
        <sz val="11"/>
        <color indexed="8"/>
        <rFont val="Arial Narrow"/>
        <family val="2"/>
      </rPr>
      <t xml:space="preserve">
PLACEMAKING </t>
    </r>
  </si>
  <si>
    <t xml:space="preserve">(Programming, Beautification) </t>
  </si>
  <si>
    <t xml:space="preserve">Replacement Lighting West Atlantic Ave and Pineapple Grove Arts District </t>
  </si>
  <si>
    <t>Remove Savor the Ave Ad from Boca Mag</t>
  </si>
  <si>
    <t>Move line item to ECONOMIC VITALITY - C</t>
  </si>
  <si>
    <t>DIGITAL ADVERTISING</t>
  </si>
  <si>
    <t xml:space="preserve">Marketing </t>
  </si>
  <si>
    <t>Move to Marketing expense to under Downtown Guide Book</t>
  </si>
  <si>
    <t>Visitor Information Center (Moved item into MKT)</t>
  </si>
  <si>
    <t>For unique marketing expenses not in other marketing</t>
  </si>
  <si>
    <t>Estimated increase as 2024 + incr from 2023 to 2024</t>
  </si>
  <si>
    <t>Less Fraud Expenses</t>
  </si>
  <si>
    <t xml:space="preserve">new website design and implementation </t>
  </si>
  <si>
    <t>DOWNTOWN PROGRAMS and EVENTS (Includes programs for Libby Wesley)</t>
  </si>
  <si>
    <t>Budget Line Discription</t>
  </si>
  <si>
    <t>QB Profit and Loss Acct</t>
  </si>
  <si>
    <t>FY23-24</t>
  </si>
  <si>
    <t>Proc frm issuance capital lease</t>
  </si>
  <si>
    <t>Funds B/F from previous years</t>
  </si>
  <si>
    <t>OSS</t>
  </si>
  <si>
    <t>DB OSS Funding</t>
  </si>
  <si>
    <t>DB OSS Revenues - Other</t>
  </si>
  <si>
    <t>Guide Book Income</t>
  </si>
  <si>
    <t>Interest Earned</t>
  </si>
  <si>
    <t>Miscellaneous Income</t>
  </si>
  <si>
    <t>Miscellaneous Sponsorships</t>
  </si>
  <si>
    <t>Sponsorship/Donation -  H. Alan</t>
  </si>
  <si>
    <t>DDA=A</t>
  </si>
  <si>
    <t>Bank Fees &amp; Interest</t>
  </si>
  <si>
    <t>Car Allowance</t>
  </si>
  <si>
    <t>Fraud Expense</t>
  </si>
  <si>
    <t>Office Rentals</t>
  </si>
  <si>
    <t>Office Repairs &amp; Maintenance</t>
  </si>
  <si>
    <t>Office Supplies</t>
  </si>
  <si>
    <t>Postages &amp; Admin Printing</t>
  </si>
  <si>
    <t>Telephone, Telecommunications</t>
  </si>
  <si>
    <t>DDA=C</t>
  </si>
  <si>
    <t>101  Payroll for VIC</t>
  </si>
  <si>
    <t>102-Payroll for DB OSS</t>
  </si>
  <si>
    <t>100- DDA  Payroll - Other</t>
  </si>
  <si>
    <t>P/R taxes,SUTA,FUTA</t>
  </si>
  <si>
    <t>401- PR Taxes VIC</t>
  </si>
  <si>
    <t>402- PR Taxes DB OSS</t>
  </si>
  <si>
    <t>400 - Payroll Taxes - Other</t>
  </si>
  <si>
    <t>6 - Health Insurance DB OSS</t>
  </si>
  <si>
    <t>6 - Health Insurance - Other</t>
  </si>
  <si>
    <t>7 - Workmans Comp. Insurance</t>
  </si>
  <si>
    <t>8a Retirement DB OSS</t>
  </si>
  <si>
    <t>8. Retirement - Other</t>
  </si>
  <si>
    <t>Capital Outlay - Gen. Gov.</t>
  </si>
  <si>
    <t>Administrative</t>
  </si>
  <si>
    <t>Big Name Concerts</t>
  </si>
  <si>
    <t>Cornell Part time Staff Member</t>
  </si>
  <si>
    <t>Creative</t>
  </si>
  <si>
    <t>Event/Campus Coordinator</t>
  </si>
  <si>
    <t>Market Agency for Rebrand</t>
  </si>
  <si>
    <t>OSS New Web Site</t>
  </si>
  <si>
    <t>Ground Maintenace</t>
  </si>
  <si>
    <t>LoveDelray Exhibition</t>
  </si>
  <si>
    <t>CREOS</t>
  </si>
  <si>
    <t>Printing</t>
  </si>
  <si>
    <t>Professional Advisor</t>
  </si>
  <si>
    <t>Surfing Museum</t>
  </si>
  <si>
    <t>Holiday Lighting</t>
  </si>
  <si>
    <t>OSS Holiday Lighting</t>
  </si>
  <si>
    <t>New Signage</t>
  </si>
  <si>
    <t>COVID-19 Reopining Assistant Grant</t>
  </si>
  <si>
    <t>The Art &amp; Activation Grant Program</t>
  </si>
  <si>
    <t xml:space="preserve">Pineapple Grove - District funding </t>
  </si>
  <si>
    <t>West Atlantic/The SET</t>
  </si>
  <si>
    <t>Total Economic Development Grants</t>
  </si>
  <si>
    <t>DDA=B</t>
  </si>
  <si>
    <t>Social Media Development (RTM)</t>
  </si>
  <si>
    <t>Total Local Print Advertising</t>
  </si>
  <si>
    <t>TV5 - 15 Spots</t>
  </si>
  <si>
    <t>Printing- Brochures &amp; Posters</t>
  </si>
  <si>
    <t>Retail Promotions</t>
  </si>
  <si>
    <t>Horizon Travel Magazine - Wallstreet Journal &amp; Canadian Edition</t>
  </si>
  <si>
    <t>Visit Florida - Beach Magazine</t>
  </si>
  <si>
    <t>Downtown Guide Book</t>
  </si>
  <si>
    <t>Miscellaneous Advertising</t>
  </si>
  <si>
    <t>Other Misc Advertising Expenses</t>
  </si>
  <si>
    <t>DDA=D</t>
  </si>
  <si>
    <t>Banner Management</t>
  </si>
  <si>
    <t>Decorative Lighting Annual prog</t>
  </si>
  <si>
    <t>Downtown Beautification</t>
  </si>
  <si>
    <t>Downtown Parking</t>
  </si>
  <si>
    <t>Downtown Safety Ambassador Prog</t>
  </si>
  <si>
    <t>Public Relations &amp; Communcation</t>
  </si>
  <si>
    <t>Annual Report</t>
  </si>
  <si>
    <t xml:space="preserve">Downtown Connection Newsletter </t>
  </si>
  <si>
    <t>Downtown Connection Newletter</t>
  </si>
  <si>
    <t>Economic Development Brochure</t>
  </si>
  <si>
    <t>Email Messaging (B2B)</t>
  </si>
  <si>
    <t>Pedestrian Counts</t>
  </si>
  <si>
    <t>Research and Data Development</t>
  </si>
  <si>
    <t>Visitor Information Center</t>
  </si>
  <si>
    <t>Visit Florida Welcome Centers</t>
  </si>
  <si>
    <t>Web Site Design &amp; Update</t>
  </si>
  <si>
    <t>Conferences, Meetings &amp; Travel</t>
  </si>
  <si>
    <t>Contracted Admin Help</t>
  </si>
  <si>
    <t>Dues &amp; Subscriptions</t>
  </si>
  <si>
    <t>Ins.-Liability &amp; Office Content</t>
  </si>
  <si>
    <t>Audit Fees</t>
  </si>
  <si>
    <t>Bookkeeping Fees</t>
  </si>
  <si>
    <t>Payroll Service Expense</t>
  </si>
  <si>
    <t>Property/Special District Fees</t>
  </si>
  <si>
    <t>Marketing Contractor</t>
  </si>
  <si>
    <t>Expenses</t>
  </si>
  <si>
    <t>Expenses DB OSS</t>
  </si>
  <si>
    <t>Revenue</t>
  </si>
  <si>
    <t>Revenue DB OSS</t>
  </si>
  <si>
    <t>Brought Forward Prev Year</t>
  </si>
  <si>
    <t xml:space="preserve">Expenses </t>
  </si>
  <si>
    <t>Expenses A- Summary inc_Ex</t>
  </si>
  <si>
    <t>Expenses B-Marketing &amp; Adverts</t>
  </si>
  <si>
    <t>Expense</t>
  </si>
  <si>
    <t>Expenses C- Economic Vitality</t>
  </si>
  <si>
    <t>Expense D-Placemaking</t>
  </si>
  <si>
    <t>Oct '23 - Sep 24</t>
  </si>
  <si>
    <t>Ordinary Income/Expense</t>
  </si>
  <si>
    <t>Income</t>
  </si>
  <si>
    <t>DB OSS Revenues</t>
  </si>
  <si>
    <t>Total DB OSS Revenues</t>
  </si>
  <si>
    <t>Total Income</t>
  </si>
  <si>
    <t>Gross Profit</t>
  </si>
  <si>
    <t>Admin. Expenditures</t>
  </si>
  <si>
    <t>Administrative &amp; Office Expense</t>
  </si>
  <si>
    <t>Office/Admin. Expenses</t>
  </si>
  <si>
    <t>Total Office/Admin. Expenses</t>
  </si>
  <si>
    <t>100- DDA  Payroll</t>
  </si>
  <si>
    <t>Total 100- DDA  Payroll</t>
  </si>
  <si>
    <t>400 - Payroll Taxes</t>
  </si>
  <si>
    <t>Total 400 - Payroll Taxes</t>
  </si>
  <si>
    <t>6 - Health Insurance</t>
  </si>
  <si>
    <t>Total 6 - Health Insurance</t>
  </si>
  <si>
    <t>8. Retirement</t>
  </si>
  <si>
    <t>Total 8. Retirement</t>
  </si>
  <si>
    <t>Total Payroll Expenses</t>
  </si>
  <si>
    <t>Total Administrative &amp; Office Expense</t>
  </si>
  <si>
    <t>Total Admin. Expenditures</t>
  </si>
  <si>
    <t>DB OSS Expenses</t>
  </si>
  <si>
    <t>Total DB OSS Expenses</t>
  </si>
  <si>
    <t>Sub contractors</t>
  </si>
  <si>
    <t>Economic Development Grants</t>
  </si>
  <si>
    <t>The Art &amp; Activation Grant Prog</t>
  </si>
  <si>
    <t>Economic Development Grants - Other</t>
  </si>
  <si>
    <t>Marketing &amp; Advertising</t>
  </si>
  <si>
    <t>Internet Advertising</t>
  </si>
  <si>
    <t>Total Internet Advertising</t>
  </si>
  <si>
    <t>Local Print Advertising</t>
  </si>
  <si>
    <t>Palm Beach Post / Newspaper</t>
  </si>
  <si>
    <t>Media Advertising</t>
  </si>
  <si>
    <t>Total Media Advertising</t>
  </si>
  <si>
    <t>Monthly Awareness Marketing Cam</t>
  </si>
  <si>
    <t>Total Monthly Awareness Marketing Cam</t>
  </si>
  <si>
    <t>Other Miscellaneous Marketing</t>
  </si>
  <si>
    <t>Total Other Miscellaneous Marketing</t>
  </si>
  <si>
    <t>Print - Magazines</t>
  </si>
  <si>
    <t>Total Print - Magazines</t>
  </si>
  <si>
    <t>Total Marketing &amp; Advertising</t>
  </si>
  <si>
    <t>Marketing/Promoting Expense</t>
  </si>
  <si>
    <t>Place Making</t>
  </si>
  <si>
    <t>Total Place Making</t>
  </si>
  <si>
    <t>Research &amp; Economic  Develop</t>
  </si>
  <si>
    <t>Total Research &amp; Economic  Develop</t>
  </si>
  <si>
    <t>Total Marketing/Promoting Expense</t>
  </si>
  <si>
    <t>Professional Fees</t>
  </si>
  <si>
    <t>Total Professional Fees</t>
  </si>
  <si>
    <t>Total Operational Expenses</t>
  </si>
  <si>
    <t>Total Sub contractors</t>
  </si>
  <si>
    <t>Total Expense</t>
  </si>
  <si>
    <t>Net Ordinary Income</t>
  </si>
  <si>
    <t>Net Income</t>
  </si>
  <si>
    <t>FY24-25</t>
  </si>
  <si>
    <t>OSS Event Summary of Expenses</t>
  </si>
  <si>
    <t>Ref</t>
  </si>
  <si>
    <t>April Free</t>
  </si>
  <si>
    <t>OSS Events and Activations:April Free</t>
  </si>
  <si>
    <t xml:space="preserve">Total From Detail Sheet </t>
  </si>
  <si>
    <t>TOTAL</t>
  </si>
  <si>
    <t>Art Talk</t>
  </si>
  <si>
    <t>OSS Events and Activations:Art Talk</t>
  </si>
  <si>
    <t>Total OSS Event Summary of Expenses</t>
  </si>
  <si>
    <t>Art Walk</t>
  </si>
  <si>
    <t>OSS Events and Activations:Art Walk</t>
  </si>
  <si>
    <t>Total DBDDA Progam Summary of Expenses</t>
  </si>
  <si>
    <t>August Free</t>
  </si>
  <si>
    <t>OSS Events and Activations:August Free</t>
  </si>
  <si>
    <t>Audit Correct if Total = 0.00</t>
  </si>
  <si>
    <t>Concerts</t>
  </si>
  <si>
    <t>OSS Events and Activations:Concerts</t>
  </si>
  <si>
    <t>Fall Fest</t>
  </si>
  <si>
    <t>OSS Events and Activations:Fall Fest</t>
  </si>
  <si>
    <t>Free Events</t>
  </si>
  <si>
    <t>OSS Events and Activations:Free Events</t>
  </si>
  <si>
    <t>General</t>
  </si>
  <si>
    <t>OSS Events and Activations:General</t>
  </si>
  <si>
    <t>June Free</t>
  </si>
  <si>
    <t>OSS Events and Activations:June Free</t>
  </si>
  <si>
    <t>May Free</t>
  </si>
  <si>
    <t>OSS Events and Activations:May Free</t>
  </si>
  <si>
    <t>Music at the Museum</t>
  </si>
  <si>
    <t>OSS Events and Activations:Music at the Museum</t>
  </si>
  <si>
    <t>New Exibit</t>
  </si>
  <si>
    <t>OSS Events and Activations:New Exibit</t>
  </si>
  <si>
    <t>Openning Event</t>
  </si>
  <si>
    <t>OSS Events and Activations:Openning Event</t>
  </si>
  <si>
    <t>Previous Year Free Event</t>
  </si>
  <si>
    <t>OSS Events and Activations:Previous Year Free Event</t>
  </si>
  <si>
    <t>Ticket Event</t>
  </si>
  <si>
    <t>OSS Events and Activations:Ticket Event</t>
  </si>
  <si>
    <t>Vintage Gym Rental</t>
  </si>
  <si>
    <t>OSS Events and Activations:Vintage Gym Rental</t>
  </si>
  <si>
    <t>Wellness Wednesday</t>
  </si>
  <si>
    <t>OSS Events and Activations:Wellness Wednesday</t>
  </si>
  <si>
    <t>DBDDA Progam Summary of Expenses</t>
  </si>
  <si>
    <t>02-Holloween - Oct</t>
  </si>
  <si>
    <t>Programs:02- Halloween - Oct</t>
  </si>
  <si>
    <t>04-Shop Small - Nov</t>
  </si>
  <si>
    <t>Programs:04- Shop Small - Nov</t>
  </si>
  <si>
    <t>08-Savor The Avenue - Mar</t>
  </si>
  <si>
    <t>Programs:08- Savor The Avenue - Mar</t>
  </si>
  <si>
    <t>14-Artwalk- Monthly</t>
  </si>
  <si>
    <t>Programs:14- Artwalk- Monthly</t>
  </si>
  <si>
    <t>15-Merchant Events</t>
  </si>
  <si>
    <t>Programs:15- Merchant Events</t>
  </si>
  <si>
    <t>16-Town Hall Meetings</t>
  </si>
  <si>
    <t>Programs:16- Town Hall Meetings</t>
  </si>
  <si>
    <t>17-Mohers Day</t>
  </si>
  <si>
    <t>Programs:17-Mothers Day</t>
  </si>
  <si>
    <t>22-Restaurant Month</t>
  </si>
  <si>
    <t>Programs:22- Restaurant Month</t>
  </si>
  <si>
    <t>23-Art &amp; Jazz on Avenue_1st</t>
  </si>
  <si>
    <t>Programs:23- Art &amp; Jazz on Avenue_1st</t>
  </si>
  <si>
    <t>23_2-HoArt &amp; Jazz on Avenue_2nd</t>
  </si>
  <si>
    <t>Programs:23_2- Art &amp; Jazz on Avenue_2nd</t>
  </si>
  <si>
    <t>23_3-HoArt &amp; Jazz on Avenue_3rd</t>
  </si>
  <si>
    <t>Programs:23_3- Art &amp; Jazz on Avenue_3rd</t>
  </si>
  <si>
    <t>23_4-HoArt &amp; Jazz on Avenue_4th</t>
  </si>
  <si>
    <t>Programs:23_4- Art &amp; Jazz on Avenue_4th</t>
  </si>
  <si>
    <t>25-Tree Lighting</t>
  </si>
  <si>
    <t>Programs:25- Tree Lighting</t>
  </si>
  <si>
    <t>26-#Love Delray</t>
  </si>
  <si>
    <t>Programs:26- #Love Delray</t>
  </si>
  <si>
    <t>27- Previous Years:a- Savor 2022</t>
  </si>
  <si>
    <t>Programs:27- Previous Years:a- Savor 2022</t>
  </si>
  <si>
    <t>27- Previous Years:b- Art &amp; Jazz 2022</t>
  </si>
  <si>
    <t>Programs:27- Previous Years:b- Art &amp; Jazz 2022</t>
  </si>
  <si>
    <t>Type</t>
  </si>
  <si>
    <t>Date</t>
  </si>
  <si>
    <t>Num</t>
  </si>
  <si>
    <t>Source Name</t>
  </si>
  <si>
    <t>Memo</t>
  </si>
  <si>
    <t>Balance</t>
  </si>
  <si>
    <t>Bill</t>
  </si>
  <si>
    <t>PrimeStar Digital Network</t>
  </si>
  <si>
    <t>Credit Card Charge</t>
  </si>
  <si>
    <t>Total Big Name Concerts</t>
  </si>
  <si>
    <t>MacLaren Signs</t>
  </si>
  <si>
    <t>Newman Co LLC</t>
  </si>
  <si>
    <t>Jyoti Mind and Body</t>
  </si>
  <si>
    <t>Total Events and Activations</t>
  </si>
  <si>
    <t>Exhibition</t>
  </si>
  <si>
    <t>Top Hat Entertainment</t>
  </si>
  <si>
    <t>Grimes Events &amp; Party Tents Inc</t>
  </si>
  <si>
    <t>Galera Collective</t>
  </si>
  <si>
    <t>Total Retail Promotions</t>
  </si>
  <si>
    <t>Updated 11/20/2024 1:41 pm</t>
  </si>
  <si>
    <t>Equity B/ Forward October 1st</t>
  </si>
  <si>
    <t>(Over)/under spent for period</t>
  </si>
  <si>
    <t>Total Funds carried Forward</t>
  </si>
  <si>
    <t>Updated 11/21/2024 11:53 am</t>
  </si>
  <si>
    <t>Updated 11/26/2024 01:09 pm</t>
  </si>
  <si>
    <t>Yuletide Carolers</t>
  </si>
  <si>
    <t>Joseph Freer</t>
  </si>
  <si>
    <t>Updated 12/10/2024 05:36 pm</t>
  </si>
  <si>
    <t>Marketing Agency for Rebrand</t>
  </si>
  <si>
    <t>#Lovedelray Exhibition</t>
  </si>
  <si>
    <t>Events And Activations</t>
  </si>
  <si>
    <t>Big-Name Concert</t>
  </si>
  <si>
    <t>Creos Activation</t>
  </si>
  <si>
    <t>Exhibition (Combined Rotating and New)</t>
  </si>
  <si>
    <t>Haddis Production</t>
  </si>
  <si>
    <t>Oct - Dec 24</t>
  </si>
  <si>
    <t>Oct - Dec 23</t>
  </si>
  <si>
    <t>Research &amp; Economic  Develop - Other</t>
  </si>
  <si>
    <t>Updated 1/20/2025 2:12 pm</t>
  </si>
  <si>
    <t>April L. Watkins</t>
  </si>
  <si>
    <t>Insta Print Plus Inc.</t>
  </si>
  <si>
    <t>J</t>
  </si>
  <si>
    <t>Oct '24 - Jan 25</t>
  </si>
  <si>
    <t>Oct '23 - Jan 24</t>
  </si>
  <si>
    <t>103-Campus/Event Coordinator</t>
  </si>
  <si>
    <t>403-Campus/Event Coordinator</t>
  </si>
  <si>
    <t>Updated 3/5/25 1:47 PM</t>
  </si>
  <si>
    <t>OSS4</t>
  </si>
  <si>
    <t>OSS5</t>
  </si>
  <si>
    <t>OSS6</t>
  </si>
  <si>
    <t>OSS Net Income with Revenue Brought Forward from PY</t>
  </si>
  <si>
    <t>Oss7</t>
  </si>
  <si>
    <t>DBOSS Net Income with Funds from Previous Year Brought Forward</t>
  </si>
  <si>
    <t>DBOSS Net Income for this Finacial Year</t>
  </si>
  <si>
    <t>DBDDA Net Income with Funds from Previous Year Broght Forward</t>
  </si>
  <si>
    <t>DBDDA1</t>
  </si>
  <si>
    <t>DBDDA2</t>
  </si>
  <si>
    <t>DBDDA3</t>
  </si>
  <si>
    <t>Less DDA Total Expenses</t>
  </si>
  <si>
    <t>DDA Net Income with Funds from Prev Year Brought Forward</t>
  </si>
  <si>
    <t>This Year Net</t>
  </si>
  <si>
    <t>Total BF Funds</t>
  </si>
  <si>
    <t>Varient</t>
  </si>
  <si>
    <t>P&amp;L Net Income</t>
  </si>
  <si>
    <t>Local Print Advertising - Other</t>
  </si>
  <si>
    <t>Ask My Accountant</t>
  </si>
  <si>
    <t>Total Other Expense</t>
  </si>
  <si>
    <t>Net Other Income</t>
  </si>
  <si>
    <t>Dorian Avila</t>
  </si>
  <si>
    <t>Total Summer Festivals</t>
  </si>
  <si>
    <t>Oct '24 - Feb 25</t>
  </si>
  <si>
    <t>Oct '23 - Feb 24</t>
  </si>
  <si>
    <t>Updated 4/10/25 4:50 PM</t>
  </si>
  <si>
    <t>Oct '24 - Mar 25</t>
  </si>
  <si>
    <t>Oct '23 - Mar 24</t>
  </si>
  <si>
    <t>Updated 5/13/25 5:22 PM</t>
  </si>
  <si>
    <t>Credit Card Credit</t>
  </si>
  <si>
    <t>Oct '24 - Apr 25</t>
  </si>
  <si>
    <t>Oct '23 - Apr 24</t>
  </si>
  <si>
    <t>Updated 5/27/25 6:00 PM</t>
  </si>
  <si>
    <t>Oct '24 - May 25</t>
  </si>
  <si>
    <t>Oct '23 - May 24</t>
  </si>
  <si>
    <t>Urban Farm Mart</t>
  </si>
  <si>
    <t>Updated 7/9/25 1:05 PM</t>
  </si>
  <si>
    <t>APPROVED Amended  Budget 2024_25</t>
  </si>
  <si>
    <t>Income Carried Forward</t>
  </si>
  <si>
    <t>OSS Funds B/F</t>
  </si>
  <si>
    <t>Combined Net Income</t>
  </si>
  <si>
    <t>Updated 9/2/25 5:03 PM</t>
  </si>
  <si>
    <t>Updated 9/2/25 5:43 PM</t>
  </si>
  <si>
    <t>Oct '24 - Jun 25</t>
  </si>
  <si>
    <t>Oct '23 - Jun 24</t>
  </si>
  <si>
    <t>Updated 9/2/25 7:19 PM</t>
  </si>
  <si>
    <t>Oct '24 - Jul 25</t>
  </si>
  <si>
    <t>Oct '23 - Jul 24</t>
  </si>
  <si>
    <t>Updated 9/4/25 5:40 PM</t>
  </si>
  <si>
    <t>Oct '24 - Aug 25</t>
  </si>
  <si>
    <t>Oct '23 - Aug 24</t>
  </si>
  <si>
    <t>Updated 10/15/25 10:28 AM</t>
  </si>
  <si>
    <t>Total Printing</t>
  </si>
  <si>
    <t>Total Printing- Brochures &amp; Posters</t>
  </si>
  <si>
    <t>Oct '24 - Sep 25</t>
  </si>
  <si>
    <t>October 2025 Art &amp; Jazz</t>
  </si>
  <si>
    <t>FY2025/26 ADOPTED BUDGET</t>
  </si>
  <si>
    <t>1.0000 Millage Rate</t>
  </si>
  <si>
    <t>TOTAL ADMINISTRATION:</t>
  </si>
  <si>
    <t>Winter Events and Activations</t>
  </si>
  <si>
    <t>OSS Net Loss for the Year (Not Covered by City&amp;Revenue)</t>
  </si>
  <si>
    <t>FY25-26</t>
  </si>
  <si>
    <t>Updated 12/20/2025 12:05pm</t>
  </si>
  <si>
    <t>OSS-Rev</t>
  </si>
  <si>
    <t>Total DDA Expenses</t>
  </si>
  <si>
    <t>To Reassign Liability: OSS Revenue Carried Forward Account to Equity 2/1/2025</t>
  </si>
  <si>
    <t>Updated 12/06/25 10:28 AM</t>
  </si>
  <si>
    <t>OSS-CF</t>
  </si>
  <si>
    <t>OSS-R</t>
  </si>
  <si>
    <t>Updated 12/19/2025 03:41pm</t>
  </si>
  <si>
    <t>Entertainment for Charlie Brown</t>
  </si>
  <si>
    <t>2,000 Charlie Brown Postcards</t>
  </si>
  <si>
    <t>CcPur1019_1</t>
  </si>
  <si>
    <t>Amazon</t>
  </si>
  <si>
    <t>OSS#31</t>
  </si>
  <si>
    <t>490049-12172025</t>
  </si>
  <si>
    <t>Cocktail Hour Entertainment</t>
  </si>
  <si>
    <t>Games for Lawn Area Charlie Brown on 12/17/2025</t>
  </si>
  <si>
    <t>000187</t>
  </si>
  <si>
    <t>Garden Goddess LLC</t>
  </si>
  <si>
    <t>Plant Rental for Charlie Brown Christmas</t>
  </si>
  <si>
    <t>Rental Supplies for OSS Event Nov 21, 2025</t>
  </si>
  <si>
    <t>Rental Supplies - Event 12/22/2025 - Holiday at the Square</t>
  </si>
  <si>
    <t>Rental of Supplies - Holiday Event at the Square CAM - 12/16/2025</t>
  </si>
  <si>
    <t>Rental supplies - Event 09 2025 - Holiday at the Square - Cancelled</t>
  </si>
  <si>
    <t>Performanced Decmber 10 17 and 23 Holdiay at the Square</t>
  </si>
  <si>
    <t>Performance November 26, 2025 - OSS Holiday Music</t>
  </si>
  <si>
    <t>25Oct16</t>
  </si>
  <si>
    <t>Live Music Performance 10/16/2025</t>
  </si>
  <si>
    <t>25Oct18</t>
  </si>
  <si>
    <t>Live Music Performance 10/18/2025</t>
  </si>
  <si>
    <t>OSS Wellness Yoga Classes CAM- 10/10</t>
  </si>
  <si>
    <t>CcPur1015_2</t>
  </si>
  <si>
    <t>OSS#28</t>
  </si>
  <si>
    <t>CcPur1017_1</t>
  </si>
  <si>
    <t>CcPur1018_1</t>
  </si>
  <si>
    <t>25-10-31-001</t>
  </si>
  <si>
    <t>Oct 1, 3, 8,15, 17, 22, 24, 29, 31  Wellness Wednesday/Mindfullness Workshops</t>
  </si>
  <si>
    <t>CcPur1030_1</t>
  </si>
  <si>
    <t>OSS#28 - First</t>
  </si>
  <si>
    <t>20251114_1</t>
  </si>
  <si>
    <t>Live Music Performance 11/14/2025</t>
  </si>
  <si>
    <t>25-11-30-001</t>
  </si>
  <si>
    <t>Nov 5, 7, 8, 12, 14, 19, 21, 26, 28 Wellness Wednesday/Mindfullness Workshops</t>
  </si>
  <si>
    <t>Charlie Brown Concert P.C Qty 500</t>
  </si>
  <si>
    <t>OSS Icons of Art Trifold Qty 250</t>
  </si>
  <si>
    <t>Production Services 10-14-2025 - FAU Monthly</t>
  </si>
  <si>
    <t>75 Holloween Posters</t>
  </si>
  <si>
    <t>Ten 2x3 Inserts &amp; One 8x8 Step repeat</t>
  </si>
  <si>
    <t>October 2025 Art &amp; Jazz (Orig Inv date 8/18/2025)</t>
  </si>
  <si>
    <t>CcPur11_263</t>
  </si>
  <si>
    <t>Premium Budgee Cords- Tree Lighting</t>
  </si>
  <si>
    <t>Production Services - 10/8/2025  merchant Community meeting</t>
  </si>
  <si>
    <t>Total Conferences, Meetings &amp; Travel</t>
  </si>
  <si>
    <t>Oct - Nov 25</t>
  </si>
  <si>
    <t>Oct - Nov 24</t>
  </si>
  <si>
    <t>Updated 1/6/2026 01:10pm</t>
  </si>
  <si>
    <t>Updated 1/15/2026 05:07PM</t>
  </si>
  <si>
    <t>Patrick Lamb Productions</t>
  </si>
  <si>
    <t>Services - 12/17/2025 - Charlie Brown Christmas Balance Due</t>
  </si>
  <si>
    <t>Delray Blueprint Co.</t>
  </si>
  <si>
    <t>Charlie Brown Laminated Color Copies Qty 14</t>
  </si>
  <si>
    <t>20251217a Rev. 1</t>
  </si>
  <si>
    <t>Thunder House Sound LLC</t>
  </si>
  <si>
    <t>Services for Event Charlie Brown Christmass</t>
  </si>
  <si>
    <t>Performance - 12-6-25 - Holliday Music</t>
  </si>
  <si>
    <t>Charlie Brown - 12-7-25</t>
  </si>
  <si>
    <t>CcPur251216</t>
  </si>
  <si>
    <t>Publix</t>
  </si>
  <si>
    <t>OOSS#31 - Charlie Brown</t>
  </si>
  <si>
    <t>Dawn Beale, LLC</t>
  </si>
  <si>
    <t>Worked on-site December 16. 2005</t>
  </si>
  <si>
    <t>MT2490-SR</t>
  </si>
  <si>
    <t>Smith Fence</t>
  </si>
  <si>
    <t>Event at Old School Square - 12/16/25</t>
  </si>
  <si>
    <t>0001581</t>
  </si>
  <si>
    <t>Debra Somerville Photography</t>
  </si>
  <si>
    <t>Charlie Brown</t>
  </si>
  <si>
    <t>United We Rock</t>
  </si>
  <si>
    <t>Show Laber / Stage Manger Caharlie Brown</t>
  </si>
  <si>
    <t>Supplies for Event Oct 16 2025 - waiting BL from Marusca</t>
  </si>
  <si>
    <t>OSS Wellness Yoga Classes CAM- 12/5</t>
  </si>
  <si>
    <t>25-12-19-001</t>
  </si>
  <si>
    <t>Dec 3 , 10 , 12 , 17 , 18 Wellness Wednesday/Mindfullness Workshops</t>
  </si>
  <si>
    <t>Ref2025Oct_1</t>
  </si>
  <si>
    <t>Mervyn Johnston</t>
  </si>
  <si>
    <t>Performances November 5, 22 &amp; 29</t>
  </si>
  <si>
    <t>Total New Exhibition</t>
  </si>
  <si>
    <t>CAM EXhibition Rack Qty. 500</t>
  </si>
  <si>
    <t>FFAW - DDA  December 5, 2025</t>
  </si>
  <si>
    <t>Services Event 12/2/2025 Tree Lighting</t>
  </si>
  <si>
    <t>Shop Small P.C. Posters Qtq 1,000</t>
  </si>
  <si>
    <t>ILS  Productions</t>
  </si>
  <si>
    <t>Tree Lighting - December 2, 2025</t>
  </si>
  <si>
    <t>Equipment Rental Tree Lighting December, 2 2025</t>
  </si>
  <si>
    <t>Event 12/2/2025  - Tree Lighting</t>
  </si>
  <si>
    <t>Performance 12/2/2025 @ Jonnie Browns</t>
  </si>
  <si>
    <t>490190-1222025</t>
  </si>
  <si>
    <t>Tree Lighting Holiday Party 12/2/2025</t>
  </si>
  <si>
    <t>Reimb120225</t>
  </si>
  <si>
    <t>Programs:00-General Programs</t>
  </si>
  <si>
    <t>Mauareen Olm Reimbursement</t>
  </si>
  <si>
    <t>1,000 Cotton Totes #LOveDelray logo</t>
  </si>
  <si>
    <t>00-General Programs</t>
  </si>
  <si>
    <t>Oct - Dec 25</t>
  </si>
  <si>
    <t>Updated 1/27/2026 03:47PM</t>
  </si>
  <si>
    <t>Updated 1/28/2026 12:07PM</t>
  </si>
  <si>
    <t>Updated 1/28/2026 12:18PM</t>
  </si>
  <si>
    <t>Oct '25 - Jan 26</t>
  </si>
  <si>
    <t>Updated 2/24/2026 12:40PM</t>
  </si>
  <si>
    <t>Brittany L Jackson</t>
  </si>
  <si>
    <t>3 hours on 12/17/2025 - Charlie Brown</t>
  </si>
  <si>
    <t>Victoria De Silvio Group reimb</t>
  </si>
  <si>
    <t>12/6 Holicay Decor - Dollar Tree (Charlie Brown Concert)</t>
  </si>
  <si>
    <t>490410-1152026</t>
  </si>
  <si>
    <t>DB OSS Expenses:Big Name Concerts</t>
  </si>
  <si>
    <t>CcPur0109_2</t>
  </si>
  <si>
    <t>Swank Motion Pictures</t>
  </si>
  <si>
    <t>OSS#31 - Free - OSS Movie Nights - License</t>
  </si>
  <si>
    <t>Audio for Movies at night - 1/15/2025</t>
  </si>
  <si>
    <t>City of DB Finance</t>
  </si>
  <si>
    <t>Services Dec 17 2025 - Charlie Brown</t>
  </si>
  <si>
    <t>0001587</t>
  </si>
  <si>
    <t>OSS - Movie Night</t>
  </si>
  <si>
    <t>12.5 Hours Movie Night - Jan 15 2026</t>
  </si>
  <si>
    <t>MT2618NW</t>
  </si>
  <si>
    <t>OSS 1/15 - Movie Night</t>
  </si>
  <si>
    <t>COS ID: 6244</t>
  </si>
  <si>
    <t>PSC</t>
  </si>
  <si>
    <t>COS ID: 6244 - Supervisor Services - 1/15/2026</t>
  </si>
  <si>
    <t>Total Campus Security (Ambassadors)</t>
  </si>
  <si>
    <t>2025Nov25</t>
  </si>
  <si>
    <t>Performance 11/25</t>
  </si>
  <si>
    <t>Philip Fest</t>
  </si>
  <si>
    <t>Solo Performance - OSS#29 - FFAW 1/2 2/6 3/6 2026</t>
  </si>
  <si>
    <t>2026Jan13</t>
  </si>
  <si>
    <t>Performance 11/7 , 11/14 , 11/21 &amp; 11/28</t>
  </si>
  <si>
    <t>Yogimemes LLC.</t>
  </si>
  <si>
    <t>Full moon Yoga 1-31-26</t>
  </si>
  <si>
    <t>Art&amp;Jazz Rack Cards qty 1,000</t>
  </si>
  <si>
    <t>JM and The Sweets</t>
  </si>
  <si>
    <t>Art &amp; Jazz on ave Feb 25th</t>
  </si>
  <si>
    <t>2510-001</t>
  </si>
  <si>
    <t>Parisi Events</t>
  </si>
  <si>
    <t>DJ - Savor the Aveneue</t>
  </si>
  <si>
    <t>CcPur0130_2</t>
  </si>
  <si>
    <t>Design By Krissy</t>
  </si>
  <si>
    <t>C7 - Window Décor</t>
  </si>
  <si>
    <t>General Journal</t>
  </si>
  <si>
    <t>To Correct 10/1/2025 Adjustment Gen Journ AdjYear26_1 10/1/2025 for Dirty Dancing 03/2026 - Depo...</t>
  </si>
  <si>
    <t>Equipment for Event Starts&amp;Eds: Feb 12,2026</t>
  </si>
  <si>
    <t>040725_Final</t>
  </si>
  <si>
    <t>Date Night Concerts LLC.</t>
  </si>
  <si>
    <t>Dirty Dancing 03/2026- Fianal - Total $30,000.00</t>
  </si>
  <si>
    <t>CcPur0210_1</t>
  </si>
  <si>
    <t>Twight Light concert Series</t>
  </si>
  <si>
    <t>02122026</t>
  </si>
  <si>
    <t>4 Hours VIP Ticket Sales - 2/12/2026</t>
  </si>
  <si>
    <t>Column and Fence Banners - Ticket</t>
  </si>
  <si>
    <t>Column and Fence Banners - Free</t>
  </si>
  <si>
    <t>Face Art By Daisy</t>
  </si>
  <si>
    <t>Concert Work Feb 12, 2026 - 12Hrs</t>
  </si>
  <si>
    <t>MT2660NW</t>
  </si>
  <si>
    <t>Services Old School Square - 2/12/26</t>
  </si>
  <si>
    <t>Services - Journey Tribute Labor: Feb 12, 2026</t>
  </si>
  <si>
    <t>Claudia Piardi</t>
  </si>
  <si>
    <t>Face Painting Art on the Square - 4 hrs - Mar 28 2026</t>
  </si>
  <si>
    <t>January2026#0001</t>
  </si>
  <si>
    <t>Jan 7 , 09 , 14 , 16 , 21 , 23 , 28, 30 Midfulness Workshops OSS</t>
  </si>
  <si>
    <t>02192026</t>
  </si>
  <si>
    <t>Performance 12/3, 12/10,12/17 2025</t>
  </si>
  <si>
    <t>26-02-27-001</t>
  </si>
  <si>
    <t>Feb 4, 6 , 11 , 13, 18, 20, 25, 27 Midfulness Workshops OSS</t>
  </si>
  <si>
    <t>20260212a</t>
  </si>
  <si>
    <t>Service and Equipment - Concert 2/16/2026</t>
  </si>
  <si>
    <t>Inserts for Art &amp; Jazz</t>
  </si>
  <si>
    <t>Insertsts - Art &amp; Jazz</t>
  </si>
  <si>
    <t>20_1</t>
  </si>
  <si>
    <t>Live Painting Art &amp; Jazz</t>
  </si>
  <si>
    <t>Winner's Award Group Inc</t>
  </si>
  <si>
    <t>Cust#103949 - 3 Cups 12", 10 &amp; 9"</t>
  </si>
  <si>
    <t>CcPur0215_1</t>
  </si>
  <si>
    <t>GoDaddy</t>
  </si>
  <si>
    <t>SavorTheAve.com Regiteration</t>
  </si>
  <si>
    <t>CcPur0217_1</t>
  </si>
  <si>
    <t>C7 - Delray Open</t>
  </si>
  <si>
    <t>Face Painting - Art &amp; Jazz on the Avenue- 3 hrs x 1 artist</t>
  </si>
  <si>
    <t>Show Equipment Rental - Date 2/25/26</t>
  </si>
  <si>
    <t>Performance - date 2/25/2026</t>
  </si>
  <si>
    <t>490644-2252026</t>
  </si>
  <si>
    <t>LED Rental - 2/25/2026</t>
  </si>
  <si>
    <t>CcPur0219_1</t>
  </si>
  <si>
    <t>C7 - 2nd Art &amp; Jazz - Suplies</t>
  </si>
  <si>
    <t>Art &amp; Jazz - Feb,25. 2026</t>
  </si>
  <si>
    <t>Art &amp; Jazz - Feb 25, 2026 - Laminated Color Copies qty 6</t>
  </si>
  <si>
    <t>Rental Supplies - Event Event Starts:Feb 25</t>
  </si>
  <si>
    <t>CcPur0224_2</t>
  </si>
  <si>
    <t>C7 - 2nd Art &amp; Jazz - Food Suplies</t>
  </si>
  <si>
    <t>JDP Waste</t>
  </si>
  <si>
    <t>1 Standard Unit - Art And Jazz February 25. 2026</t>
  </si>
  <si>
    <t>Customize That</t>
  </si>
  <si>
    <t>Savor the Avenue T-Shirts</t>
  </si>
  <si>
    <t>Oct '25 - Feb 26</t>
  </si>
  <si>
    <t>Updated 3/30/2026 03:21PM</t>
  </si>
  <si>
    <t>JE26-28</t>
  </si>
  <si>
    <t>Tables &amp; Linens - Going to the Gym - 1-22-2026 - Gym Rental</t>
  </si>
  <si>
    <t>Rental Supplies - OSS Event - 1/12/2026 - Movie Night</t>
  </si>
  <si>
    <t>Dirty Dancing - Laminating qty 4</t>
  </si>
  <si>
    <t>Lighting &amp; Main - Full Moon Yoga, On Stage - 3-3-2026</t>
  </si>
  <si>
    <t>Credit For Sales Tax</t>
  </si>
  <si>
    <t>51N-013</t>
  </si>
  <si>
    <t>Adrian Pritchard Construction LLC.</t>
  </si>
  <si>
    <t>2/12/26 AMPHITHEATER - Setup and Breakdown</t>
  </si>
  <si>
    <t>Even Mar 12,2026</t>
  </si>
  <si>
    <t>20260305_Meal</t>
  </si>
  <si>
    <t>Meal Buy  for 12 Concert Artists and Crew</t>
  </si>
  <si>
    <t>OSS- Dirty Dancing Color Qty 5</t>
  </si>
  <si>
    <t>Family Flicks At the Square - Jan 15, 2026</t>
  </si>
  <si>
    <t>Twilight Concert Ceries - Feb 12, 2026</t>
  </si>
  <si>
    <t>CcPur0305_2</t>
  </si>
  <si>
    <t>OSS#31 -Free - Dirty Dancing Band Rider Suplies</t>
  </si>
  <si>
    <t>CcPur0308_4</t>
  </si>
  <si>
    <t>OSS#31 -Free- Dirty Dancing Product to mark chairs</t>
  </si>
  <si>
    <t>Dirty Dancing six 2x2 , twelve 2x3, six 1x3, cora Signs :Three 10x5156 Bannes: seating Id's 156</t>
  </si>
  <si>
    <t>CcPur0309_2</t>
  </si>
  <si>
    <t>OSS#31- General - Ponchos for outdoor events</t>
  </si>
  <si>
    <t>Frequency Events AV</t>
  </si>
  <si>
    <t>Sound Equipment Rental - Event March 18, 2026</t>
  </si>
  <si>
    <t>CcPur0310_1</t>
  </si>
  <si>
    <t>OSS#31 - T-Shirts Art on the Square</t>
  </si>
  <si>
    <t>Four 2x2 Coro Signs - "VIP Premium only" - Dirty Dancing</t>
  </si>
  <si>
    <t>20260312_Setlm</t>
  </si>
  <si>
    <t>Settlment for Dirty Dancing - National Advertsing costs</t>
  </si>
  <si>
    <t>Reimb20260312</t>
  </si>
  <si>
    <t>Laura Simon Reimb</t>
  </si>
  <si>
    <t>Hotel for Dirty Dancing Cast - Hyatt  Place 4 rooms 1 Night - 3-12_to3-13-2026</t>
  </si>
  <si>
    <t>CcPur0311_1</t>
  </si>
  <si>
    <t>OSS#31-Free - Dirty Dancing</t>
  </si>
  <si>
    <t>0001600</t>
  </si>
  <si>
    <t>Event - Dirty Dancing</t>
  </si>
  <si>
    <t>MT2697NW</t>
  </si>
  <si>
    <t>Old School Square - 3/11/26 event</t>
  </si>
  <si>
    <t>9.5 hrs Worked Set-up for Dirty Dancing- March 11, 2026</t>
  </si>
  <si>
    <t>15.75 hrs Worked On-site for Dirty Dancing- March 12, 2026</t>
  </si>
  <si>
    <t>Art on the Square Fine Art Show - March 28th, 29th</t>
  </si>
  <si>
    <t>268075-000243</t>
  </si>
  <si>
    <t>Cure Cocktails</t>
  </si>
  <si>
    <t>Services - Reggae Fest - March 22, 2026</t>
  </si>
  <si>
    <t>268075-000247</t>
  </si>
  <si>
    <t>Services - Reggae Fest - March 20 2026</t>
  </si>
  <si>
    <t>Reimb005</t>
  </si>
  <si>
    <t>Melissa Schneider</t>
  </si>
  <si>
    <t>Insurance for Fine Art Vendor</t>
  </si>
  <si>
    <t>10393-1</t>
  </si>
  <si>
    <t>SEP Communications</t>
  </si>
  <si>
    <t>Art on the Square Lanyards Qty 300</t>
  </si>
  <si>
    <t>Reggae Festifal Signs qty 6</t>
  </si>
  <si>
    <t>Lightin, Tents,  Sides, Main, Msc &amp; Fees - OSS Concert - Reggae Festival - 3-21-2026</t>
  </si>
  <si>
    <t>03192026</t>
  </si>
  <si>
    <t>Ticket Seller services for Dirty Dancing 3-19-2026</t>
  </si>
  <si>
    <t>Signs and Banners for OSS - Art  on the Scquare</t>
  </si>
  <si>
    <t>CcPur0319_3</t>
  </si>
  <si>
    <t>At Rosettes</t>
  </si>
  <si>
    <t>OSS#31 -  Free - Art on the square Ribbons</t>
  </si>
  <si>
    <t>Laminated Color Copies 18x24 qty 2 - Art on the Square</t>
  </si>
  <si>
    <t>Reggae Festival Mar 21 (12.5Hrs)</t>
  </si>
  <si>
    <t>Laminated Color Copies 8.5 x 11- Qty 51 - Art on the Square</t>
  </si>
  <si>
    <t>CcPur0324_1</t>
  </si>
  <si>
    <t>OSS#31-General - Art on the Square Artist Breakfast and Volunteers</t>
  </si>
  <si>
    <t>CcPur0323_1</t>
  </si>
  <si>
    <t>OSS#31 -General - Art on the Square - Snacks for Artists</t>
  </si>
  <si>
    <t>51N-014</t>
  </si>
  <si>
    <t>3/26/2026 - 8 hrs Cormell Museum - Event support (various)</t>
  </si>
  <si>
    <t>51N-014Reimb</t>
  </si>
  <si>
    <t>Adrian Pritchard Reimbursements</t>
  </si>
  <si>
    <t>3/26/2026 - Home Depot - Cornell Event tent placement prep material</t>
  </si>
  <si>
    <t>Jonathan Jimenez</t>
  </si>
  <si>
    <t>3/11/2026 12 Hrs- Setup Dirty Dancing</t>
  </si>
  <si>
    <t>3/12/2026 7 Hrs - Dirty Dancing Concert</t>
  </si>
  <si>
    <t>3/21/2026 17Hrs - Raggae Festival</t>
  </si>
  <si>
    <t>how Labor / Stage Manage 3/20 &amp; 3/21 - 10 Hrs - Raggae Festival</t>
  </si>
  <si>
    <t>2 stage Assist 3/20 &amp; 3/21 -13.25 Hrs - Raggae Festival</t>
  </si>
  <si>
    <t>490964-432026</t>
  </si>
  <si>
    <t>Games Supply - 4/3/2026 - Florida Panther Block Party</t>
  </si>
  <si>
    <t>Event Rental supplies for Art on the Square - Mar 27 2026</t>
  </si>
  <si>
    <t>Performance - Mar 28th, 2026 - Art on the Square</t>
  </si>
  <si>
    <t>OSS032826</t>
  </si>
  <si>
    <t>Professional Concessions, Inc</t>
  </si>
  <si>
    <t>Services Provided - Art on the Square event 3-25-2026</t>
  </si>
  <si>
    <t>CcPur0327_2</t>
  </si>
  <si>
    <t>Windy City Pizza</t>
  </si>
  <si>
    <t>OSS31 - Free - Pizza for Art on the Square Reception</t>
  </si>
  <si>
    <t>CcPur0326_4</t>
  </si>
  <si>
    <t>OSS#31 - Free - Plants for Art on the square</t>
  </si>
  <si>
    <t>Cont20260325</t>
  </si>
  <si>
    <t>Moral Music</t>
  </si>
  <si>
    <t>FM Band Mami - Florida Panther Block Party - Apr 3rd 2026</t>
  </si>
  <si>
    <t>Performace - March 28 7 29 2026 - Art on the Square</t>
  </si>
  <si>
    <t>03312026</t>
  </si>
  <si>
    <t>Performance Mar 29 2026 - Art on the Square</t>
  </si>
  <si>
    <t>Worked Art on the Square - March 27, 2026 - 6.75 hrs</t>
  </si>
  <si>
    <t>City Services for Dirty Dancing Live, March 12, 2026</t>
  </si>
  <si>
    <t>03022026</t>
  </si>
  <si>
    <t>Performance 2/14, 2/11, 2/18 and 2/15 2026</t>
  </si>
  <si>
    <t>CAM - Maursca - event 3-17-2026</t>
  </si>
  <si>
    <t>03252026</t>
  </si>
  <si>
    <t>Performance - March 2026 - 4, 11, 18 &amp; 25</t>
  </si>
  <si>
    <t>26-03-31-001</t>
  </si>
  <si>
    <t>Mar 4, 6 , 11 , 13, 18, 20, 25, 27 Midfulness Workshops OSS</t>
  </si>
  <si>
    <t>Contr03312026_Dep</t>
  </si>
  <si>
    <t>Marlow Productions</t>
  </si>
  <si>
    <t>Deposit for No Monke Business Performance - 6-26-2026</t>
  </si>
  <si>
    <t>FFAW Rack Cards Qty 1,000</t>
  </si>
  <si>
    <t>C7-Artwalk - Perfomrance Debilzan Gallery Feb 6th, 2026</t>
  </si>
  <si>
    <t>Hours Worked Art &amp; Jazz (10.5)</t>
  </si>
  <si>
    <t>2/25/26 - Art &amp; Jazz Fest Setup and Breakdown</t>
  </si>
  <si>
    <t>Ormonde Productions</t>
  </si>
  <si>
    <t>Sound System and Supplies  - Savor the Avenue 3.23.26</t>
  </si>
  <si>
    <t>Online payment Convenience fee</t>
  </si>
  <si>
    <t>Reimb03112026</t>
  </si>
  <si>
    <t>10' DDA Canopy and Frame</t>
  </si>
  <si>
    <t>6' Stretched Table Cover - 1 DDA</t>
  </si>
  <si>
    <t>8' Stretched Table Cover - 1 DDA</t>
  </si>
  <si>
    <t>10343-1</t>
  </si>
  <si>
    <t>Lanyards - Qty 1,200 - Savor</t>
  </si>
  <si>
    <t>Check</t>
  </si>
  <si>
    <t>ACH031127</t>
  </si>
  <si>
    <t>Florida Municipal Insurance Trust</t>
  </si>
  <si>
    <t>Liquor Libility - Savor</t>
  </si>
  <si>
    <t>CcPur0312_2</t>
  </si>
  <si>
    <t>C7-Savor - Supplies</t>
  </si>
  <si>
    <t>The Scan Group</t>
  </si>
  <si>
    <t>Delray Beach Event Book 12pg Cover + 16p Body Qty 10,000</t>
  </si>
  <si>
    <t>Savor The Avenue - Table Check In Signage</t>
  </si>
  <si>
    <t>Rental supplies - Savor the avenue - 3-23-2026</t>
  </si>
  <si>
    <t>Savor the Ave- Tables/Chairs - 3-23-2026</t>
  </si>
  <si>
    <t>10486-1</t>
  </si>
  <si>
    <t>Savor Tags qty 1,000</t>
  </si>
  <si>
    <t>CcPur0317_1</t>
  </si>
  <si>
    <t>C7 - Savor - Supplies(5)</t>
  </si>
  <si>
    <t>CcPur0316_2</t>
  </si>
  <si>
    <t>C7-Savor - Alcohol Permit Application</t>
  </si>
  <si>
    <t>CcPur0319_1</t>
  </si>
  <si>
    <t>3202026A</t>
  </si>
  <si>
    <t>Signs and Banners - Savor the Avenue</t>
  </si>
  <si>
    <t>CcPur0320_1</t>
  </si>
  <si>
    <t>C7 - Savor Supplies(4)</t>
  </si>
  <si>
    <t>Rental Portable Toilets(3) and Hand Washing Stations(3)</t>
  </si>
  <si>
    <t>377712-10</t>
  </si>
  <si>
    <t>Atlas Party Rental</t>
  </si>
  <si>
    <t>Purchase Order#: SAVOR AVE TENT#3</t>
  </si>
  <si>
    <t>377708-11</t>
  </si>
  <si>
    <t>Purchase Order#: SAVOR AVE TENT#1</t>
  </si>
  <si>
    <t>Credit for  2 Fire Extinguisher/Class K</t>
  </si>
  <si>
    <t>377709-10</t>
  </si>
  <si>
    <t>Purchase Order#: SAVOR AVE TENT#2</t>
  </si>
  <si>
    <t>Savor (13.5Hrs)</t>
  </si>
  <si>
    <t>0001606</t>
  </si>
  <si>
    <t>Event Phatography - Savor the Ave 2026</t>
  </si>
  <si>
    <t>CcPur0324_2</t>
  </si>
  <si>
    <t>C7-Savor - Supplies(2)</t>
  </si>
  <si>
    <t>3/23/2026 - 17 hrs DDA - Savor the avenue support (various)</t>
  </si>
  <si>
    <t>3/23/2026 13 hrs - Savort the avenue support</t>
  </si>
  <si>
    <t>Interfaith Committee for Social Services</t>
  </si>
  <si>
    <t>2026 Beneficiary of Savor The Avenue - $500 from Each Participants</t>
  </si>
  <si>
    <t>Oct '25 - Mar 26</t>
  </si>
  <si>
    <t>Updated 5/5/2026 9:22AM</t>
  </si>
  <si>
    <t>Downtown Development Authority  Preliminary Available Funds at 3/31/2026</t>
  </si>
  <si>
    <t>FY 25_26
 to Date
3/31/2026</t>
  </si>
  <si>
    <t>Previous
Year toDate
3/31/2025</t>
  </si>
  <si>
    <t>Unrestricte Net Assets Reduced for OSS Funds B/F
3/31/2026</t>
  </si>
  <si>
    <t>Updated 5/5/2026 10:06AM</t>
  </si>
  <si>
    <t>Percentage of Adopted Budget</t>
  </si>
  <si>
    <t>increase 2k from Dues</t>
  </si>
  <si>
    <t xml:space="preserve">reduce by 10k </t>
  </si>
  <si>
    <t>reduce by 8k</t>
  </si>
  <si>
    <t>reduce by 4k</t>
  </si>
  <si>
    <t xml:space="preserve">actual expence </t>
  </si>
  <si>
    <t>reduce by 7k</t>
  </si>
  <si>
    <t>reduce by 10k</t>
  </si>
  <si>
    <t>reduce by 70k</t>
  </si>
  <si>
    <t>reduce by 2500</t>
  </si>
  <si>
    <t>increase by 2k</t>
  </si>
  <si>
    <t>COMMENTS</t>
  </si>
  <si>
    <t>Move Libby Plaza D7 25k to C7 to cover Summer Libby Wesley Plaza Events</t>
  </si>
  <si>
    <t xml:space="preserve">increase 6K due to replacement pineapple grove lighting </t>
  </si>
  <si>
    <t xml:space="preserve">Reduce by 10k </t>
  </si>
  <si>
    <t>Increase by 5k from Holiday Lighting</t>
  </si>
  <si>
    <t>Reduce by 10k (move 5k to D1)</t>
  </si>
  <si>
    <t>reduce by 6k and move to lighting budget (D2)</t>
  </si>
  <si>
    <t xml:space="preserve">Move this 25k fund to C7 for Libby Wesley Plaza Activations </t>
  </si>
  <si>
    <t xml:space="preserve">Increase by $5k from Misc Adv (A15) </t>
  </si>
  <si>
    <t>Reduce by $2k and move to A40</t>
  </si>
  <si>
    <t xml:space="preserve">reduce 3k and move to C 3 </t>
  </si>
  <si>
    <t>increase to cover the production of the Merchant Handbook</t>
  </si>
  <si>
    <t>Reduce by 4k to be closer to actual spend</t>
  </si>
  <si>
    <t>Reduce by 2k</t>
  </si>
  <si>
    <t xml:space="preserve">reduce by 5k </t>
  </si>
  <si>
    <t>increase by 15k (moved dollars from OSS32 and OSS33)</t>
  </si>
  <si>
    <t>increase by 5k from OSS22</t>
  </si>
  <si>
    <t>reduce by 15k move to Marketing Downtown (B5)</t>
  </si>
  <si>
    <t>Increase $10k due to additional Audit work</t>
  </si>
  <si>
    <t>Increase for Beautification Task Force consultant</t>
  </si>
  <si>
    <t>Percentage of change</t>
  </si>
  <si>
    <t>Amount of Change</t>
  </si>
  <si>
    <t xml:space="preserve">TOTAL </t>
  </si>
  <si>
    <t xml:space="preserve">FY2025/26 AMENDED  BUDGET </t>
  </si>
  <si>
    <t>ADOPTED  AMENDED BUDGET</t>
  </si>
  <si>
    <t>ADOPTED AMENDED BUDGET</t>
  </si>
  <si>
    <t xml:space="preserve">ADOPTED AMENDMENT -BUDGET </t>
  </si>
  <si>
    <r>
      <t xml:space="preserve">ECONOMIC VITALITY -PAGE C </t>
    </r>
    <r>
      <rPr>
        <b/>
        <sz val="12"/>
        <color rgb="FFFF0000"/>
        <rFont val="Arial Narrow"/>
        <family val="2"/>
      </rPr>
      <t xml:space="preserve"> FY26/27 PROPOSED BUDGET</t>
    </r>
  </si>
  <si>
    <t>Libby Wesley Plaza ART INSTALL</t>
  </si>
  <si>
    <t>Atlantic Ave Oaks, Beachside and Pineapple Grove payment</t>
  </si>
  <si>
    <t xml:space="preserve">New Holiday Lights </t>
  </si>
  <si>
    <t xml:space="preserve">Program enhancements </t>
  </si>
  <si>
    <t xml:space="preserve">Clean up old signage </t>
  </si>
  <si>
    <t xml:space="preserve">Art installation - Winter plan </t>
  </si>
  <si>
    <t>Office Plan - future of DDA</t>
  </si>
  <si>
    <t xml:space="preserve">REQUIRE MORE FUNDING TO FULFILL MISSION </t>
  </si>
  <si>
    <t>Additional Marketing Staff</t>
  </si>
  <si>
    <t xml:space="preserve">Delray Book </t>
  </si>
  <si>
    <t>Discover/VisitFLA</t>
  </si>
  <si>
    <t xml:space="preserve">Savor Ad </t>
  </si>
  <si>
    <t>Summer Ads</t>
  </si>
  <si>
    <t xml:space="preserve">Marketing/Communication strategy/Signage </t>
  </si>
  <si>
    <t>OPTION 2</t>
  </si>
  <si>
    <t>Centennial Celebration/Vintage Gym</t>
  </si>
  <si>
    <t xml:space="preserve">TBD- Document under Review </t>
  </si>
  <si>
    <t xml:space="preserve">Winter &amp; Summer </t>
  </si>
  <si>
    <t>Proped renovation of front doors to be inkind</t>
  </si>
  <si>
    <t>Final
FY 24_25
FYE</t>
  </si>
  <si>
    <t>Provision of Uncollectable Receivables</t>
  </si>
  <si>
    <t xml:space="preserve">.95 of total 1Mil Rev (recommended estimated reconcilliation) </t>
  </si>
  <si>
    <t xml:space="preserve">Based on the recommended increase proposed </t>
  </si>
  <si>
    <t>RFP for Services needed</t>
  </si>
  <si>
    <t xml:space="preserve">payroll of employee for both DDA and OSS </t>
  </si>
  <si>
    <t xml:space="preserve">Parking passes - $1200 (10 ppl) </t>
  </si>
  <si>
    <t xml:space="preserve">Graphic Design - DDA programming </t>
  </si>
  <si>
    <t xml:space="preserve">Collateral/Rack Brochures </t>
  </si>
  <si>
    <t>Coastal Star/Newspaper</t>
  </si>
  <si>
    <t xml:space="preserve">Digital Ads/Paid Social </t>
  </si>
  <si>
    <t xml:space="preserve">Video Development </t>
  </si>
  <si>
    <t>Production and Mailing</t>
  </si>
  <si>
    <t>Platform expense</t>
  </si>
  <si>
    <t>Materials and Consultant Fees</t>
  </si>
  <si>
    <t>Stat Plan Consultant - hopefully</t>
  </si>
  <si>
    <t xml:space="preserve">Event Logistic Costs: Art/Jazz
Savor the Ave (40,000)
Sounds of the Set (6 times per year = $36k)
Art Walk ($6000)
Tree Lighting ($10k)
Orichid Giveaway($6000)
Shop Small ($1000)
Restaurant Month ($1000)
Art &amp; Jazz ($90,000)
Centennial Event - 2027 ($30,000) </t>
  </si>
  <si>
    <r>
      <t xml:space="preserve">DOWNTOWN PROGRAMS and EVENTS (Includes programs for Libby Wesley)
</t>
    </r>
    <r>
      <rPr>
        <b/>
        <sz val="11"/>
        <color rgb="FFFF0000"/>
        <rFont val="Arial Narrow"/>
        <family val="2"/>
      </rPr>
      <t>Continue Same Programming or Change - BRING BACK FASHION WEEK???</t>
    </r>
  </si>
  <si>
    <t xml:space="preserve">Beautification Task Force/Veterans Park - Utilize Reserves to support project </t>
  </si>
  <si>
    <t>New Centennial banners - call to artist; SET banner &amp; Welcome Banner &amp; Blue Flag Banners replacements</t>
  </si>
  <si>
    <t>AD VALOREM TAXES</t>
  </si>
  <si>
    <t xml:space="preserve">PLACER.AI + Datafy &amp; Ginkgo? </t>
  </si>
  <si>
    <t>PLACEMAKING CLEAN AND SAFE PAGE D
FISCAL YEARY 2026-2027 PROPOSED BUDGET</t>
  </si>
  <si>
    <r>
      <t xml:space="preserve">DBDDA FISCAL YEAR 2026-2027 ADOPTED </t>
    </r>
    <r>
      <rPr>
        <b/>
        <sz val="12"/>
        <rFont val="Arial Narrow"/>
        <family val="2"/>
      </rPr>
      <t xml:space="preserve">BUDGET </t>
    </r>
    <r>
      <rPr>
        <b/>
        <sz val="12"/>
        <color theme="1"/>
        <rFont val="Arial Narrow"/>
        <family val="2"/>
      </rPr>
      <t>- MARKETING PAGE B</t>
    </r>
  </si>
  <si>
    <t>DDA FY2026-2027 ADOPTED BUDGET - A</t>
  </si>
  <si>
    <t xml:space="preserve">DBDDA  FISCAL YEAR 2026-2027  
TOP LINE ADOPTED BUDGET REPORT </t>
  </si>
  <si>
    <t>FY 2026-2027 ADOPTED BUDGET</t>
  </si>
  <si>
    <t>as of 9.22.2026</t>
  </si>
  <si>
    <t>9.22.2026</t>
  </si>
  <si>
    <t xml:space="preserve">Delray Beach Old School Square Fiscal Year 2026-2027 ADOPTED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</si>
</sst>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3" formatCode="_(* #,##0.00_);_(* \(#,##0.00\);_(* &quot;-&quot;??_);_(@_)"/>
    <numFmt numFmtId="164" formatCode="[$-409]d\-mmm\-yyyy;@"/>
    <numFmt numFmtId="165" formatCode="&quot;$&quot;#,##0.0_);\(&quot;$&quot;#,##0.0\)"/>
    <numFmt numFmtId="166" formatCode="&quot;$&quot;#,##0"/>
    <numFmt numFmtId="167" formatCode="_(* #,##0_);_(* \(#,##0\);_(* &quot;-&quot;??_);_(@_)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Arial Narrow"/>
      <family val="2"/>
    </font>
    <font>
      <b/>
      <sz val="12"/>
      <name val="Arial Narrow"/>
      <family val="2"/>
    </font>
    <font>
      <sz val="11"/>
      <color indexed="8"/>
      <name val="Arial Narrow"/>
      <family val="2"/>
    </font>
    <font>
      <b/>
      <sz val="11"/>
      <name val="Arial Narrow"/>
      <family val="2"/>
    </font>
    <font>
      <sz val="12"/>
      <color indexed="8"/>
      <name val="Arial Narrow"/>
      <family val="2"/>
    </font>
    <font>
      <b/>
      <sz val="14"/>
      <color indexed="8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theme="0"/>
      <name val="Arial Narrow"/>
      <family val="2"/>
    </font>
    <font>
      <b/>
      <sz val="14"/>
      <color theme="1"/>
      <name val="Arial Narrow"/>
      <family val="2"/>
    </font>
    <font>
      <b/>
      <sz val="12"/>
      <color theme="0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i/>
      <sz val="11"/>
      <name val="Arial Narrow"/>
      <family val="2"/>
    </font>
    <font>
      <b/>
      <sz val="14"/>
      <color indexed="8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sz val="8"/>
      <color rgb="FFFF0000"/>
      <name val="Arial Narrow"/>
      <family val="2"/>
    </font>
    <font>
      <b/>
      <u/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color rgb="FFFFFFFF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0"/>
      <color rgb="FFFF0000"/>
      <name val="Arial Narrow"/>
      <family val="2"/>
    </font>
    <font>
      <sz val="10"/>
      <color indexed="10"/>
      <name val="Arial Narrow"/>
      <family val="2"/>
    </font>
    <font>
      <b/>
      <sz val="12"/>
      <color theme="1"/>
      <name val="Century Gothic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trike/>
      <sz val="11"/>
      <color theme="1"/>
      <name val="Calibri"/>
      <family val="2"/>
      <scheme val="minor"/>
    </font>
    <font>
      <strike/>
      <sz val="11"/>
      <color theme="1"/>
      <name val="Arial Narrow"/>
      <family val="2"/>
    </font>
    <font>
      <b/>
      <sz val="14"/>
      <color rgb="FFFFFFFF"/>
      <name val="Arial Narrow"/>
      <family val="2"/>
    </font>
    <font>
      <b/>
      <strike/>
      <sz val="11"/>
      <name val="Arial Narrow"/>
      <family val="2"/>
    </font>
    <font>
      <sz val="10"/>
      <color rgb="FFFF0000"/>
      <name val="Calibri"/>
      <family val="2"/>
      <scheme val="minor"/>
    </font>
    <font>
      <sz val="9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name val="Arial Narrow"/>
      <family val="2"/>
    </font>
    <font>
      <b/>
      <sz val="11"/>
      <color theme="0"/>
      <name val="Calibri"/>
      <family val="2"/>
      <scheme val="minor"/>
    </font>
    <font>
      <sz val="12"/>
      <name val="Arial Narrow"/>
      <family val="2"/>
    </font>
    <font>
      <sz val="14"/>
      <name val="Arial Narrow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 Narrow"/>
      <family val="2"/>
    </font>
    <font>
      <b/>
      <sz val="12"/>
      <color rgb="FFFF0000"/>
      <name val="Arial Narrow"/>
      <family val="2"/>
    </font>
    <font>
      <sz val="11"/>
      <color theme="0"/>
      <name val="Arial Narrow"/>
      <family val="2"/>
    </font>
    <font>
      <b/>
      <sz val="9"/>
      <color theme="1"/>
      <name val="Arial Narrow"/>
      <family val="2"/>
    </font>
    <font>
      <strike/>
      <sz val="11"/>
      <color indexed="8"/>
      <name val="Arial Narrow"/>
      <family val="2"/>
    </font>
    <font>
      <b/>
      <sz val="11"/>
      <color rgb="FFFF0000"/>
      <name val="Arial Narrow"/>
      <family val="2"/>
    </font>
  </fonts>
  <fills count="3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gray125">
        <bgColor theme="0" tint="-4.9989318521683403E-2"/>
      </patternFill>
    </fill>
    <fill>
      <patternFill patternType="solid">
        <fgColor rgb="FF0070C0"/>
        <bgColor indexed="64"/>
      </patternFill>
    </fill>
    <fill>
      <patternFill patternType="solid">
        <fgColor rgb="FFB7B7B7"/>
        <bgColor rgb="FFB7B7B7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rgb="FFB7B7B7"/>
      </patternFill>
    </fill>
    <fill>
      <patternFill patternType="gray125">
        <bgColor theme="0" tint="-0.1499679555650502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theme="9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CFE2F3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125">
        <bgColor theme="2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gray125">
        <bgColor theme="8" tint="0.79998168889431442"/>
      </patternFill>
    </fill>
    <fill>
      <patternFill patternType="solid">
        <fgColor theme="9" tint="0.59999389629810485"/>
        <bgColor indexed="64"/>
      </patternFill>
    </fill>
    <fill>
      <patternFill patternType="gray125">
        <bgColor theme="0"/>
      </patternFill>
    </fill>
    <fill>
      <patternFill patternType="solid">
        <fgColor theme="7" tint="0.79998168889431442"/>
        <bgColor indexed="64"/>
      </patternFill>
    </fill>
  </fills>
  <borders count="175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0" tint="-0.24994659260841701"/>
      </bottom>
      <diagonal/>
    </border>
    <border>
      <left/>
      <right/>
      <top style="double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/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87640003662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medium">
        <color theme="0" tint="-0.14990691854609822"/>
      </bottom>
      <diagonal/>
    </border>
    <border>
      <left/>
      <right/>
      <top/>
      <bottom style="medium">
        <color theme="0" tint="-0.149906918546098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auto="1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/>
      <bottom/>
      <diagonal/>
    </border>
    <border>
      <left style="thin">
        <color auto="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medium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indexed="64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4" fillId="0" borderId="0"/>
  </cellStyleXfs>
  <cellXfs count="910">
    <xf numFmtId="0" fontId="0" fillId="0" borderId="0" xfId="0"/>
    <xf numFmtId="3" fontId="4" fillId="0" borderId="7" xfId="0" applyNumberFormat="1" applyFont="1" applyBorder="1" applyAlignment="1">
      <alignment horizontal="right" indent="1"/>
    </xf>
    <xf numFmtId="0" fontId="10" fillId="0" borderId="8" xfId="0" applyFont="1" applyBorder="1" applyAlignment="1">
      <alignment horizontal="right" indent="1"/>
    </xf>
    <xf numFmtId="0" fontId="6" fillId="0" borderId="34" xfId="0" applyFont="1" applyBorder="1" applyAlignment="1">
      <alignment horizontal="right" indent="1"/>
    </xf>
    <xf numFmtId="0" fontId="10" fillId="0" borderId="36" xfId="0" applyFont="1" applyBorder="1" applyAlignment="1">
      <alignment horizontal="right" indent="1"/>
    </xf>
    <xf numFmtId="0" fontId="23" fillId="0" borderId="37" xfId="0" applyFont="1" applyBorder="1" applyAlignment="1">
      <alignment horizontal="right" wrapText="1" indent="1"/>
    </xf>
    <xf numFmtId="0" fontId="23" fillId="0" borderId="10" xfId="0" applyFont="1" applyBorder="1" applyAlignment="1">
      <alignment horizontal="right" wrapText="1" indent="1"/>
    </xf>
    <xf numFmtId="0" fontId="23" fillId="0" borderId="10" xfId="0" applyFont="1" applyBorder="1" applyAlignment="1">
      <alignment horizontal="right" wrapText="1"/>
    </xf>
    <xf numFmtId="0" fontId="23" fillId="0" borderId="37" xfId="0" applyFont="1" applyBorder="1" applyAlignment="1">
      <alignment horizontal="right" wrapText="1"/>
    </xf>
    <xf numFmtId="0" fontId="23" fillId="0" borderId="34" xfId="0" applyFont="1" applyBorder="1" applyAlignment="1">
      <alignment horizontal="right" wrapText="1"/>
    </xf>
    <xf numFmtId="0" fontId="23" fillId="0" borderId="36" xfId="0" applyFont="1" applyBorder="1" applyAlignment="1">
      <alignment horizontal="right" wrapText="1"/>
    </xf>
    <xf numFmtId="0" fontId="10" fillId="0" borderId="0" xfId="0" applyFont="1"/>
    <xf numFmtId="0" fontId="15" fillId="0" borderId="7" xfId="0" applyFont="1" applyBorder="1" applyAlignment="1">
      <alignment horizontal="right" indent="1"/>
    </xf>
    <xf numFmtId="0" fontId="27" fillId="0" borderId="7" xfId="0" applyFont="1" applyBorder="1" applyAlignment="1">
      <alignment horizontal="right" indent="1"/>
    </xf>
    <xf numFmtId="0" fontId="27" fillId="0" borderId="8" xfId="0" applyFont="1" applyBorder="1" applyAlignment="1">
      <alignment horizontal="right" indent="1"/>
    </xf>
    <xf numFmtId="14" fontId="0" fillId="0" borderId="0" xfId="1" applyNumberFormat="1" applyFont="1" applyAlignment="1">
      <alignment horizontal="right"/>
    </xf>
    <xf numFmtId="43" fontId="0" fillId="0" borderId="0" xfId="0" applyNumberFormat="1"/>
    <xf numFmtId="43" fontId="0" fillId="0" borderId="0" xfId="1" applyFont="1"/>
    <xf numFmtId="0" fontId="2" fillId="0" borderId="0" xfId="0" applyFont="1"/>
    <xf numFmtId="0" fontId="2" fillId="10" borderId="0" xfId="0" applyFont="1" applyFill="1"/>
    <xf numFmtId="9" fontId="2" fillId="11" borderId="0" xfId="0" quotePrefix="1" applyNumberFormat="1" applyFont="1" applyFill="1" applyAlignment="1">
      <alignment horizontal="center"/>
    </xf>
    <xf numFmtId="0" fontId="33" fillId="10" borderId="0" xfId="0" applyFont="1" applyFill="1"/>
    <xf numFmtId="164" fontId="2" fillId="10" borderId="0" xfId="0" applyNumberFormat="1" applyFont="1" applyFill="1"/>
    <xf numFmtId="0" fontId="2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vertical="center"/>
    </xf>
    <xf numFmtId="0" fontId="0" fillId="10" borderId="0" xfId="0" applyFill="1"/>
    <xf numFmtId="0" fontId="2" fillId="0" borderId="0" xfId="0" applyFont="1" applyAlignment="1">
      <alignment horizontal="center"/>
    </xf>
    <xf numFmtId="3" fontId="35" fillId="0" borderId="50" xfId="2" applyNumberFormat="1" applyFont="1" applyBorder="1" applyAlignment="1">
      <alignment horizontal="center"/>
    </xf>
    <xf numFmtId="3" fontId="35" fillId="0" borderId="51" xfId="2" applyNumberFormat="1" applyFont="1" applyBorder="1" applyAlignment="1">
      <alignment horizontal="center"/>
    </xf>
    <xf numFmtId="10" fontId="35" fillId="0" borderId="0" xfId="2" applyNumberFormat="1" applyFont="1" applyAlignment="1">
      <alignment horizontal="center"/>
    </xf>
    <xf numFmtId="10" fontId="35" fillId="0" borderId="50" xfId="2" applyNumberFormat="1" applyFont="1" applyBorder="1" applyAlignment="1">
      <alignment horizontal="center"/>
    </xf>
    <xf numFmtId="39" fontId="2" fillId="0" borderId="52" xfId="1" applyNumberFormat="1" applyFont="1" applyBorder="1" applyAlignment="1">
      <alignment horizontal="center"/>
    </xf>
    <xf numFmtId="0" fontId="0" fillId="0" borderId="53" xfId="0" applyBorder="1"/>
    <xf numFmtId="43" fontId="35" fillId="0" borderId="54" xfId="1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9" fontId="0" fillId="0" borderId="0" xfId="0" applyNumberForma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 indent="2"/>
    </xf>
    <xf numFmtId="43" fontId="0" fillId="0" borderId="28" xfId="0" applyNumberFormat="1" applyBorder="1"/>
    <xf numFmtId="10" fontId="0" fillId="0" borderId="0" xfId="0" applyNumberFormat="1"/>
    <xf numFmtId="0" fontId="0" fillId="0" borderId="28" xfId="0" applyBorder="1"/>
    <xf numFmtId="0" fontId="10" fillId="0" borderId="59" xfId="0" applyFont="1" applyBorder="1" applyAlignment="1">
      <alignment horizontal="right" indent="1"/>
    </xf>
    <xf numFmtId="0" fontId="10" fillId="0" borderId="59" xfId="0" applyFont="1" applyBorder="1" applyAlignment="1">
      <alignment horizontal="right"/>
    </xf>
    <xf numFmtId="0" fontId="11" fillId="0" borderId="65" xfId="0" applyFont="1" applyBorder="1" applyAlignment="1">
      <alignment horizontal="right"/>
    </xf>
    <xf numFmtId="0" fontId="11" fillId="0" borderId="66" xfId="0" applyFont="1" applyBorder="1" applyAlignment="1">
      <alignment horizontal="right"/>
    </xf>
    <xf numFmtId="0" fontId="10" fillId="0" borderId="66" xfId="0" applyFont="1" applyBorder="1" applyAlignment="1">
      <alignment horizontal="right" indent="1"/>
    </xf>
    <xf numFmtId="3" fontId="11" fillId="0" borderId="66" xfId="0" applyNumberFormat="1" applyFont="1" applyBorder="1" applyAlignment="1">
      <alignment horizontal="right"/>
    </xf>
    <xf numFmtId="0" fontId="6" fillId="0" borderId="66" xfId="0" applyFont="1" applyBorder="1" applyAlignment="1">
      <alignment horizontal="right"/>
    </xf>
    <xf numFmtId="0" fontId="10" fillId="0" borderId="66" xfId="0" applyFont="1" applyBorder="1" applyAlignment="1">
      <alignment horizontal="right"/>
    </xf>
    <xf numFmtId="0" fontId="10" fillId="0" borderId="61" xfId="0" applyFont="1" applyBorder="1" applyAlignment="1">
      <alignment horizontal="right"/>
    </xf>
    <xf numFmtId="0" fontId="12" fillId="12" borderId="66" xfId="0" applyFont="1" applyFill="1" applyBorder="1" applyAlignment="1">
      <alignment horizontal="right" wrapText="1"/>
    </xf>
    <xf numFmtId="0" fontId="10" fillId="0" borderId="63" xfId="0" applyFont="1" applyBorder="1" applyAlignment="1">
      <alignment horizontal="right"/>
    </xf>
    <xf numFmtId="0" fontId="10" fillId="0" borderId="68" xfId="0" applyFont="1" applyBorder="1" applyAlignment="1">
      <alignment horizontal="right"/>
    </xf>
    <xf numFmtId="0" fontId="6" fillId="0" borderId="37" xfId="0" applyFont="1" applyBorder="1" applyAlignment="1">
      <alignment horizontal="right" indent="1"/>
    </xf>
    <xf numFmtId="38" fontId="0" fillId="0" borderId="0" xfId="0" applyNumberFormat="1"/>
    <xf numFmtId="0" fontId="10" fillId="0" borderId="10" xfId="0" applyFont="1" applyBorder="1" applyAlignment="1">
      <alignment horizontal="right"/>
    </xf>
    <xf numFmtId="3" fontId="6" fillId="0" borderId="7" xfId="0" quotePrefix="1" applyNumberFormat="1" applyFont="1" applyBorder="1" applyAlignment="1">
      <alignment horizontal="right"/>
    </xf>
    <xf numFmtId="3" fontId="11" fillId="0" borderId="13" xfId="0" quotePrefix="1" applyNumberFormat="1" applyFont="1" applyBorder="1" applyAlignment="1">
      <alignment horizontal="right"/>
    </xf>
    <xf numFmtId="3" fontId="6" fillId="0" borderId="8" xfId="0" quotePrefix="1" applyNumberFormat="1" applyFont="1" applyBorder="1" applyAlignment="1">
      <alignment horizontal="right"/>
    </xf>
    <xf numFmtId="0" fontId="10" fillId="0" borderId="7" xfId="0" applyFont="1" applyBorder="1" applyAlignment="1">
      <alignment horizontal="right" wrapText="1"/>
    </xf>
    <xf numFmtId="3" fontId="6" fillId="0" borderId="7" xfId="0" quotePrefix="1" applyNumberFormat="1" applyFont="1" applyBorder="1" applyAlignment="1">
      <alignment horizontal="right" wrapText="1" indent="1"/>
    </xf>
    <xf numFmtId="0" fontId="10" fillId="0" borderId="7" xfId="0" applyFont="1" applyBorder="1" applyAlignment="1">
      <alignment horizontal="right" indent="1"/>
    </xf>
    <xf numFmtId="3" fontId="6" fillId="0" borderId="18" xfId="0" quotePrefix="1" applyNumberFormat="1" applyFont="1" applyBorder="1" applyAlignment="1">
      <alignment horizontal="right" wrapText="1" indent="1"/>
    </xf>
    <xf numFmtId="0" fontId="0" fillId="0" borderId="0" xfId="0" applyAlignment="1">
      <alignment horizontal="center"/>
    </xf>
    <xf numFmtId="0" fontId="11" fillId="0" borderId="39" xfId="0" applyFont="1" applyBorder="1" applyAlignment="1">
      <alignment horizontal="right" indent="1"/>
    </xf>
    <xf numFmtId="0" fontId="11" fillId="0" borderId="41" xfId="0" applyFont="1" applyBorder="1" applyAlignment="1">
      <alignment horizontal="right" indent="1"/>
    </xf>
    <xf numFmtId="0" fontId="11" fillId="0" borderId="8" xfId="0" applyFont="1" applyBorder="1" applyAlignment="1">
      <alignment horizontal="right" indent="1"/>
    </xf>
    <xf numFmtId="0" fontId="11" fillId="0" borderId="43" xfId="0" applyFont="1" applyBorder="1" applyAlignment="1">
      <alignment horizontal="right" indent="1"/>
    </xf>
    <xf numFmtId="0" fontId="11" fillId="0" borderId="36" xfId="0" applyFont="1" applyBorder="1" applyAlignment="1">
      <alignment horizontal="right" indent="1"/>
    </xf>
    <xf numFmtId="0" fontId="11" fillId="0" borderId="37" xfId="0" applyFont="1" applyBorder="1" applyAlignment="1">
      <alignment horizontal="right" indent="1"/>
    </xf>
    <xf numFmtId="0" fontId="8" fillId="0" borderId="34" xfId="0" applyFont="1" applyBorder="1" applyAlignment="1">
      <alignment horizontal="right" indent="1"/>
    </xf>
    <xf numFmtId="0" fontId="6" fillId="0" borderId="8" xfId="0" applyFont="1" applyBorder="1" applyAlignment="1">
      <alignment horizontal="right" indent="1"/>
    </xf>
    <xf numFmtId="0" fontId="6" fillId="0" borderId="36" xfId="0" applyFont="1" applyBorder="1" applyAlignment="1">
      <alignment horizontal="right" indent="1"/>
    </xf>
    <xf numFmtId="3" fontId="6" fillId="0" borderId="36" xfId="0" applyNumberFormat="1" applyFont="1" applyBorder="1" applyAlignment="1">
      <alignment horizontal="right" indent="1"/>
    </xf>
    <xf numFmtId="14" fontId="0" fillId="0" borderId="0" xfId="0" applyNumberFormat="1"/>
    <xf numFmtId="40" fontId="0" fillId="0" borderId="0" xfId="0" applyNumberFormat="1"/>
    <xf numFmtId="40" fontId="0" fillId="0" borderId="15" xfId="0" applyNumberFormat="1" applyBorder="1"/>
    <xf numFmtId="0" fontId="0" fillId="0" borderId="0" xfId="0" applyAlignment="1">
      <alignment horizontal="right" indent="1"/>
    </xf>
    <xf numFmtId="16" fontId="0" fillId="0" borderId="0" xfId="0" applyNumberFormat="1"/>
    <xf numFmtId="0" fontId="40" fillId="0" borderId="0" xfId="0" applyFont="1"/>
    <xf numFmtId="0" fontId="11" fillId="0" borderId="100" xfId="0" applyFont="1" applyBorder="1" applyAlignment="1">
      <alignment horizontal="right"/>
    </xf>
    <xf numFmtId="0" fontId="10" fillId="0" borderId="102" xfId="0" applyFont="1" applyBorder="1" applyAlignment="1">
      <alignment horizontal="right" indent="1"/>
    </xf>
    <xf numFmtId="0" fontId="11" fillId="0" borderId="102" xfId="0" applyFont="1" applyBorder="1" applyAlignment="1">
      <alignment horizontal="right"/>
    </xf>
    <xf numFmtId="0" fontId="43" fillId="0" borderId="0" xfId="0" applyFont="1"/>
    <xf numFmtId="0" fontId="42" fillId="0" borderId="0" xfId="0" applyFont="1"/>
    <xf numFmtId="0" fontId="1" fillId="0" borderId="0" xfId="0" applyFont="1"/>
    <xf numFmtId="0" fontId="1" fillId="20" borderId="15" xfId="0" applyFont="1" applyFill="1" applyBorder="1"/>
    <xf numFmtId="3" fontId="0" fillId="0" borderId="0" xfId="0" applyNumberFormat="1"/>
    <xf numFmtId="0" fontId="0" fillId="21" borderId="15" xfId="0" applyFill="1" applyBorder="1"/>
    <xf numFmtId="3" fontId="2" fillId="0" borderId="5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2" fillId="0" borderId="5" xfId="0" applyFont="1" applyBorder="1"/>
    <xf numFmtId="0" fontId="0" fillId="0" borderId="5" xfId="0" applyBorder="1"/>
    <xf numFmtId="0" fontId="14" fillId="15" borderId="7" xfId="0" applyFont="1" applyFill="1" applyBorder="1" applyAlignment="1">
      <alignment horizontal="right" indent="1"/>
    </xf>
    <xf numFmtId="0" fontId="48" fillId="15" borderId="7" xfId="0" applyFont="1" applyFill="1" applyBorder="1" applyAlignment="1">
      <alignment horizontal="right" indent="1"/>
    </xf>
    <xf numFmtId="0" fontId="48" fillId="15" borderId="14" xfId="0" applyFont="1" applyFill="1" applyBorder="1" applyAlignment="1">
      <alignment horizontal="right" wrapText="1" indent="1"/>
    </xf>
    <xf numFmtId="0" fontId="0" fillId="17" borderId="0" xfId="0" applyFill="1"/>
    <xf numFmtId="43" fontId="49" fillId="0" borderId="0" xfId="1" applyFont="1"/>
    <xf numFmtId="0" fontId="0" fillId="0" borderId="0" xfId="0" applyAlignment="1">
      <alignment wrapText="1"/>
    </xf>
    <xf numFmtId="38" fontId="0" fillId="21" borderId="15" xfId="0" applyNumberFormat="1" applyFill="1" applyBorder="1"/>
    <xf numFmtId="0" fontId="0" fillId="0" borderId="0" xfId="0" quotePrefix="1"/>
    <xf numFmtId="0" fontId="46" fillId="0" borderId="7" xfId="0" applyFont="1" applyBorder="1" applyAlignment="1">
      <alignment horizontal="right" indent="1"/>
    </xf>
    <xf numFmtId="40" fontId="0" fillId="0" borderId="0" xfId="1" applyNumberFormat="1" applyFont="1"/>
    <xf numFmtId="0" fontId="14" fillId="15" borderId="7" xfId="0" applyFont="1" applyFill="1" applyBorder="1" applyAlignment="1">
      <alignment horizontal="right" wrapText="1" indent="1"/>
    </xf>
    <xf numFmtId="0" fontId="10" fillId="0" borderId="0" xfId="0" applyFont="1" applyAlignment="1">
      <alignment horizontal="right"/>
    </xf>
    <xf numFmtId="167" fontId="42" fillId="0" borderId="0" xfId="1" applyNumberFormat="1" applyFont="1"/>
    <xf numFmtId="0" fontId="15" fillId="17" borderId="7" xfId="0" applyFont="1" applyFill="1" applyBorder="1" applyAlignment="1">
      <alignment horizontal="right" indent="1"/>
    </xf>
    <xf numFmtId="10" fontId="10" fillId="0" borderId="0" xfId="0" applyNumberFormat="1" applyFont="1"/>
    <xf numFmtId="0" fontId="11" fillId="0" borderId="62" xfId="0" applyFont="1" applyBorder="1" applyAlignment="1">
      <alignment horizontal="right"/>
    </xf>
    <xf numFmtId="0" fontId="10" fillId="0" borderId="141" xfId="0" applyFont="1" applyBorder="1" applyAlignment="1">
      <alignment horizontal="right" indent="1"/>
    </xf>
    <xf numFmtId="0" fontId="22" fillId="0" borderId="7" xfId="0" applyFont="1" applyBorder="1" applyAlignment="1">
      <alignment horizontal="right" wrapText="1" indent="2"/>
    </xf>
    <xf numFmtId="0" fontId="22" fillId="0" borderId="18" xfId="0" applyFont="1" applyBorder="1" applyAlignment="1">
      <alignment horizontal="right" wrapText="1" indent="2"/>
    </xf>
    <xf numFmtId="0" fontId="27" fillId="0" borderId="18" xfId="0" applyFont="1" applyBorder="1" applyAlignment="1">
      <alignment horizontal="right" indent="1"/>
    </xf>
    <xf numFmtId="0" fontId="7" fillId="0" borderId="151" xfId="0" applyFont="1" applyBorder="1" applyAlignment="1">
      <alignment horizontal="right" wrapText="1" indent="1"/>
    </xf>
    <xf numFmtId="0" fontId="22" fillId="0" borderId="8" xfId="0" applyFont="1" applyBorder="1" applyAlignment="1">
      <alignment horizontal="right" wrapText="1" indent="2"/>
    </xf>
    <xf numFmtId="0" fontId="23" fillId="0" borderId="3" xfId="0" applyFont="1" applyBorder="1" applyAlignment="1">
      <alignment horizontal="right" wrapText="1"/>
    </xf>
    <xf numFmtId="0" fontId="11" fillId="0" borderId="13" xfId="0" applyFont="1" applyBorder="1" applyAlignment="1">
      <alignment horizontal="right" wrapText="1"/>
    </xf>
    <xf numFmtId="0" fontId="15" fillId="0" borderId="8" xfId="0" applyFont="1" applyBorder="1" applyAlignment="1">
      <alignment horizontal="right" indent="1"/>
    </xf>
    <xf numFmtId="3" fontId="54" fillId="0" borderId="8" xfId="0" applyNumberFormat="1" applyFont="1" applyBorder="1" applyAlignment="1">
      <alignment horizontal="right" indent="1"/>
    </xf>
    <xf numFmtId="0" fontId="32" fillId="0" borderId="140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78" xfId="0" applyFont="1" applyBorder="1" applyAlignment="1">
      <alignment horizontal="center" vertical="center"/>
    </xf>
    <xf numFmtId="0" fontId="44" fillId="0" borderId="142" xfId="0" applyFont="1" applyBorder="1" applyAlignment="1">
      <alignment horizontal="center" vertical="center" wrapText="1"/>
    </xf>
    <xf numFmtId="0" fontId="44" fillId="0" borderId="134" xfId="0" applyFont="1" applyBorder="1" applyAlignment="1">
      <alignment horizontal="center" vertical="center" wrapText="1"/>
    </xf>
    <xf numFmtId="0" fontId="28" fillId="0" borderId="140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/>
    </xf>
    <xf numFmtId="0" fontId="28" fillId="0" borderId="81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13" fillId="0" borderId="8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35" fillId="0" borderId="49" xfId="2" applyNumberFormat="1" applyFont="1" applyBorder="1" applyAlignment="1">
      <alignment horizontal="center"/>
    </xf>
    <xf numFmtId="0" fontId="0" fillId="0" borderId="0" xfId="0"/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62" xfId="0" applyFont="1" applyBorder="1" applyAlignment="1">
      <alignment horizontal="right"/>
    </xf>
    <xf numFmtId="0" fontId="31" fillId="0" borderId="0" xfId="0" applyFont="1" applyAlignment="1">
      <alignment horizontal="right"/>
    </xf>
    <xf numFmtId="0" fontId="10" fillId="0" borderId="13" xfId="0" applyFont="1" applyBorder="1" applyAlignment="1">
      <alignment horizontal="right"/>
    </xf>
    <xf numFmtId="0" fontId="10" fillId="24" borderId="13" xfId="0" applyFont="1" applyFill="1" applyBorder="1" applyAlignment="1">
      <alignment horizontal="right"/>
    </xf>
    <xf numFmtId="0" fontId="10" fillId="0" borderId="13" xfId="0" applyFont="1" applyBorder="1" applyAlignment="1">
      <alignment horizontal="right" wrapText="1"/>
    </xf>
    <xf numFmtId="0" fontId="10" fillId="0" borderId="96" xfId="0" applyFont="1" applyBorder="1" applyAlignment="1">
      <alignment horizontal="right"/>
    </xf>
    <xf numFmtId="0" fontId="10" fillId="0" borderId="25" xfId="0" applyFont="1" applyBorder="1" applyAlignment="1">
      <alignment horizontal="right"/>
    </xf>
    <xf numFmtId="0" fontId="10" fillId="0" borderId="79" xfId="0" applyFont="1" applyBorder="1" applyAlignment="1">
      <alignment horizontal="right" wrapText="1"/>
    </xf>
    <xf numFmtId="0" fontId="3" fillId="0" borderId="56" xfId="0" applyFont="1" applyBorder="1" applyAlignment="1">
      <alignment horizontal="right"/>
    </xf>
    <xf numFmtId="0" fontId="18" fillId="0" borderId="21" xfId="0" applyFont="1" applyBorder="1" applyAlignment="1">
      <alignment horizontal="right" wrapText="1"/>
    </xf>
    <xf numFmtId="0" fontId="15" fillId="0" borderId="21" xfId="0" applyFont="1" applyBorder="1" applyAlignment="1">
      <alignment horizontal="right" wrapText="1"/>
    </xf>
    <xf numFmtId="0" fontId="15" fillId="24" borderId="21" xfId="0" applyFont="1" applyFill="1" applyBorder="1" applyAlignment="1">
      <alignment horizontal="right" wrapText="1"/>
    </xf>
    <xf numFmtId="0" fontId="10" fillId="0" borderId="21" xfId="0" applyFont="1" applyBorder="1" applyAlignment="1">
      <alignment horizontal="right" wrapText="1"/>
    </xf>
    <xf numFmtId="0" fontId="0" fillId="0" borderId="134" xfId="0" applyBorder="1" applyAlignment="1">
      <alignment horizontal="right"/>
    </xf>
    <xf numFmtId="0" fontId="15" fillId="27" borderId="155" xfId="0" applyFont="1" applyFill="1" applyBorder="1" applyAlignment="1">
      <alignment horizontal="right" wrapText="1"/>
    </xf>
    <xf numFmtId="0" fontId="15" fillId="27" borderId="11" xfId="0" applyFont="1" applyFill="1" applyBorder="1" applyAlignment="1">
      <alignment horizontal="right" wrapText="1"/>
    </xf>
    <xf numFmtId="0" fontId="15" fillId="27" borderId="7" xfId="0" applyFont="1" applyFill="1" applyBorder="1" applyAlignment="1">
      <alignment horizontal="right" wrapText="1"/>
    </xf>
    <xf numFmtId="0" fontId="15" fillId="0" borderId="87" xfId="0" applyFont="1" applyBorder="1" applyAlignment="1">
      <alignment horizontal="right" wrapText="1"/>
    </xf>
    <xf numFmtId="0" fontId="15" fillId="29" borderId="155" xfId="0" applyFont="1" applyFill="1" applyBorder="1" applyAlignment="1">
      <alignment horizontal="right" wrapText="1"/>
    </xf>
    <xf numFmtId="0" fontId="15" fillId="29" borderId="79" xfId="0" applyFont="1" applyFill="1" applyBorder="1" applyAlignment="1">
      <alignment horizontal="right" wrapText="1"/>
    </xf>
    <xf numFmtId="0" fontId="5" fillId="0" borderId="62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0" fillId="24" borderId="0" xfId="0" applyFont="1" applyFill="1" applyAlignment="1">
      <alignment horizontal="right"/>
    </xf>
    <xf numFmtId="0" fontId="10" fillId="0" borderId="22" xfId="0" applyFont="1" applyBorder="1" applyAlignment="1">
      <alignment horizontal="right"/>
    </xf>
    <xf numFmtId="0" fontId="10" fillId="0" borderId="10" xfId="0" applyFont="1" applyBorder="1" applyAlignment="1">
      <alignment horizontal="right" wrapText="1"/>
    </xf>
    <xf numFmtId="0" fontId="10" fillId="0" borderId="79" xfId="0" applyFont="1" applyBorder="1" applyAlignment="1">
      <alignment horizontal="right"/>
    </xf>
    <xf numFmtId="0" fontId="10" fillId="0" borderId="0" xfId="0" applyFont="1" applyAlignment="1">
      <alignment horizontal="right" wrapText="1"/>
    </xf>
    <xf numFmtId="0" fontId="6" fillId="0" borderId="63" xfId="0" applyFont="1" applyBorder="1" applyAlignment="1">
      <alignment horizontal="right"/>
    </xf>
    <xf numFmtId="0" fontId="7" fillId="0" borderId="5" xfId="0" applyFont="1" applyBorder="1" applyAlignment="1">
      <alignment horizontal="right" indent="1"/>
    </xf>
    <xf numFmtId="0" fontId="10" fillId="0" borderId="5" xfId="0" applyFont="1" applyBorder="1" applyAlignment="1">
      <alignment horizontal="right"/>
    </xf>
    <xf numFmtId="0" fontId="10" fillId="24" borderId="5" xfId="0" applyFont="1" applyFill="1" applyBorder="1" applyAlignment="1">
      <alignment horizontal="right"/>
    </xf>
    <xf numFmtId="0" fontId="10" fillId="0" borderId="26" xfId="0" applyFont="1" applyBorder="1" applyAlignment="1">
      <alignment horizontal="right"/>
    </xf>
    <xf numFmtId="0" fontId="10" fillId="0" borderId="8" xfId="0" applyFont="1" applyBorder="1" applyAlignment="1">
      <alignment horizontal="right" wrapText="1"/>
    </xf>
    <xf numFmtId="0" fontId="10" fillId="0" borderId="90" xfId="0" applyFont="1" applyBorder="1" applyAlignment="1">
      <alignment horizontal="right"/>
    </xf>
    <xf numFmtId="0" fontId="6" fillId="0" borderId="85" xfId="0" applyFont="1" applyBorder="1" applyAlignment="1">
      <alignment horizontal="right"/>
    </xf>
    <xf numFmtId="38" fontId="10" fillId="0" borderId="34" xfId="0" applyNumberFormat="1" applyFont="1" applyBorder="1" applyAlignment="1">
      <alignment horizontal="right"/>
    </xf>
    <xf numFmtId="38" fontId="10" fillId="0" borderId="97" xfId="0" applyNumberFormat="1" applyFont="1" applyBorder="1" applyAlignment="1">
      <alignment horizontal="right"/>
    </xf>
    <xf numFmtId="38" fontId="10" fillId="24" borderId="97" xfId="0" applyNumberFormat="1" applyFont="1" applyFill="1" applyBorder="1" applyAlignment="1">
      <alignment horizontal="right"/>
    </xf>
    <xf numFmtId="38" fontId="10" fillId="0" borderId="13" xfId="0" applyNumberFormat="1" applyFont="1" applyBorder="1" applyAlignment="1">
      <alignment horizontal="right"/>
    </xf>
    <xf numFmtId="10" fontId="10" fillId="0" borderId="13" xfId="0" applyNumberFormat="1" applyFont="1" applyBorder="1" applyAlignment="1">
      <alignment horizontal="right"/>
    </xf>
    <xf numFmtId="38" fontId="10" fillId="0" borderId="156" xfId="0" applyNumberFormat="1" applyFont="1" applyBorder="1" applyAlignment="1">
      <alignment horizontal="right"/>
    </xf>
    <xf numFmtId="38" fontId="10" fillId="0" borderId="25" xfId="0" applyNumberFormat="1" applyFont="1" applyBorder="1" applyAlignment="1">
      <alignment horizontal="right"/>
    </xf>
    <xf numFmtId="38" fontId="10" fillId="0" borderId="8" xfId="0" applyNumberFormat="1" applyFont="1" applyBorder="1" applyAlignment="1">
      <alignment horizontal="right"/>
    </xf>
    <xf numFmtId="38" fontId="10" fillId="0" borderId="10" xfId="0" applyNumberFormat="1" applyFont="1" applyBorder="1" applyAlignment="1">
      <alignment horizontal="right"/>
    </xf>
    <xf numFmtId="38" fontId="10" fillId="24" borderId="10" xfId="0" applyNumberFormat="1" applyFont="1" applyFill="1" applyBorder="1" applyAlignment="1">
      <alignment horizontal="right"/>
    </xf>
    <xf numFmtId="38" fontId="10" fillId="0" borderId="38" xfId="0" applyNumberFormat="1" applyFont="1" applyBorder="1" applyAlignment="1">
      <alignment horizontal="right"/>
    </xf>
    <xf numFmtId="10" fontId="10" fillId="0" borderId="10" xfId="0" applyNumberFormat="1" applyFont="1" applyBorder="1" applyAlignment="1">
      <alignment horizontal="right"/>
    </xf>
    <xf numFmtId="38" fontId="10" fillId="0" borderId="84" xfId="0" applyNumberFormat="1" applyFont="1" applyBorder="1" applyAlignment="1">
      <alignment horizontal="right"/>
    </xf>
    <xf numFmtId="0" fontId="6" fillId="0" borderId="60" xfId="0" applyFont="1" applyBorder="1" applyAlignment="1">
      <alignment horizontal="right"/>
    </xf>
    <xf numFmtId="0" fontId="7" fillId="0" borderId="7" xfId="0" applyFont="1" applyBorder="1" applyAlignment="1">
      <alignment horizontal="right" indent="1"/>
    </xf>
    <xf numFmtId="38" fontId="15" fillId="0" borderId="7" xfId="0" applyNumberFormat="1" applyFont="1" applyBorder="1" applyAlignment="1">
      <alignment horizontal="right"/>
    </xf>
    <xf numFmtId="38" fontId="15" fillId="24" borderId="7" xfId="0" applyNumberFormat="1" applyFont="1" applyFill="1" applyBorder="1" applyAlignment="1">
      <alignment horizontal="right"/>
    </xf>
    <xf numFmtId="10" fontId="15" fillId="0" borderId="7" xfId="0" applyNumberFormat="1" applyFont="1" applyBorder="1" applyAlignment="1">
      <alignment horizontal="right"/>
    </xf>
    <xf numFmtId="38" fontId="15" fillId="0" borderId="73" xfId="0" applyNumberFormat="1" applyFont="1" applyBorder="1" applyAlignment="1">
      <alignment horizontal="right"/>
    </xf>
    <xf numFmtId="38" fontId="10" fillId="0" borderId="79" xfId="0" applyNumberFormat="1" applyFont="1" applyBorder="1" applyAlignment="1">
      <alignment horizontal="right" wrapText="1"/>
    </xf>
    <xf numFmtId="0" fontId="6" fillId="0" borderId="68" xfId="0" applyFont="1" applyBorder="1" applyAlignment="1">
      <alignment horizontal="right"/>
    </xf>
    <xf numFmtId="0" fontId="4" fillId="0" borderId="34" xfId="0" applyFont="1" applyBorder="1" applyAlignment="1">
      <alignment horizontal="right" indent="1"/>
    </xf>
    <xf numFmtId="0" fontId="6" fillId="0" borderId="157" xfId="0" applyFont="1" applyBorder="1" applyAlignment="1">
      <alignment horizontal="right"/>
    </xf>
    <xf numFmtId="38" fontId="10" fillId="24" borderId="38" xfId="0" applyNumberFormat="1" applyFont="1" applyFill="1" applyBorder="1" applyAlignment="1">
      <alignment horizontal="right"/>
    </xf>
    <xf numFmtId="38" fontId="10" fillId="0" borderId="158" xfId="0" applyNumberFormat="1" applyFont="1" applyBorder="1" applyAlignment="1">
      <alignment horizontal="right"/>
    </xf>
    <xf numFmtId="38" fontId="10" fillId="11" borderId="25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6" fillId="0" borderId="59" xfId="0" applyFont="1" applyBorder="1" applyAlignment="1">
      <alignment horizontal="right"/>
    </xf>
    <xf numFmtId="38" fontId="10" fillId="0" borderId="35" xfId="0" applyNumberFormat="1" applyFont="1" applyBorder="1" applyAlignment="1">
      <alignment horizontal="right"/>
    </xf>
    <xf numFmtId="38" fontId="10" fillId="24" borderId="35" xfId="0" applyNumberFormat="1" applyFont="1" applyFill="1" applyBorder="1" applyAlignment="1">
      <alignment horizontal="right"/>
    </xf>
    <xf numFmtId="38" fontId="10" fillId="0" borderId="159" xfId="0" applyNumberFormat="1" applyFont="1" applyBorder="1" applyAlignment="1">
      <alignment horizontal="right"/>
    </xf>
    <xf numFmtId="10" fontId="10" fillId="0" borderId="8" xfId="0" applyNumberFormat="1" applyFont="1" applyBorder="1" applyAlignment="1">
      <alignment horizontal="right"/>
    </xf>
    <xf numFmtId="0" fontId="6" fillId="0" borderId="74" xfId="0" applyFont="1" applyBorder="1" applyAlignment="1">
      <alignment horizontal="right"/>
    </xf>
    <xf numFmtId="0" fontId="4" fillId="0" borderId="11" xfId="0" applyFont="1" applyBorder="1" applyAlignment="1">
      <alignment horizontal="right" indent="1"/>
    </xf>
    <xf numFmtId="38" fontId="15" fillId="0" borderId="12" xfId="0" applyNumberFormat="1" applyFont="1" applyBorder="1" applyAlignment="1">
      <alignment horizontal="right"/>
    </xf>
    <xf numFmtId="38" fontId="15" fillId="24" borderId="12" xfId="0" applyNumberFormat="1" applyFont="1" applyFill="1" applyBorder="1" applyAlignment="1">
      <alignment horizontal="right"/>
    </xf>
    <xf numFmtId="10" fontId="15" fillId="0" borderId="8" xfId="0" applyNumberFormat="1" applyFont="1" applyBorder="1" applyAlignment="1">
      <alignment horizontal="right"/>
    </xf>
    <xf numFmtId="38" fontId="15" fillId="0" borderId="98" xfId="0" applyNumberFormat="1" applyFont="1" applyBorder="1" applyAlignment="1">
      <alignment horizontal="right"/>
    </xf>
    <xf numFmtId="0" fontId="4" fillId="0" borderId="74" xfId="0" applyFont="1" applyBorder="1" applyAlignment="1">
      <alignment horizontal="right"/>
    </xf>
    <xf numFmtId="0" fontId="17" fillId="2" borderId="0" xfId="0" applyFont="1" applyFill="1" applyAlignment="1">
      <alignment horizontal="right" wrapText="1" indent="1"/>
    </xf>
    <xf numFmtId="38" fontId="10" fillId="0" borderId="7" xfId="0" applyNumberFormat="1" applyFont="1" applyBorder="1" applyAlignment="1">
      <alignment horizontal="right"/>
    </xf>
    <xf numFmtId="38" fontId="10" fillId="24" borderId="8" xfId="0" applyNumberFormat="1" applyFont="1" applyFill="1" applyBorder="1" applyAlignment="1">
      <alignment horizontal="right"/>
    </xf>
    <xf numFmtId="38" fontId="15" fillId="0" borderId="8" xfId="0" applyNumberFormat="1" applyFont="1" applyBorder="1" applyAlignment="1">
      <alignment horizontal="right"/>
    </xf>
    <xf numFmtId="10" fontId="10" fillId="0" borderId="7" xfId="0" applyNumberFormat="1" applyFont="1" applyBorder="1" applyAlignment="1">
      <alignment horizontal="right"/>
    </xf>
    <xf numFmtId="38" fontId="10" fillId="0" borderId="86" xfId="0" applyNumberFormat="1" applyFont="1" applyBorder="1" applyAlignment="1">
      <alignment horizontal="right"/>
    </xf>
    <xf numFmtId="38" fontId="10" fillId="0" borderId="26" xfId="0" applyNumberFormat="1" applyFont="1" applyBorder="1" applyAlignment="1">
      <alignment horizontal="right"/>
    </xf>
    <xf numFmtId="0" fontId="9" fillId="0" borderId="160" xfId="0" applyFont="1" applyBorder="1" applyAlignment="1">
      <alignment horizontal="right"/>
    </xf>
    <xf numFmtId="0" fontId="4" fillId="0" borderId="25" xfId="0" applyFont="1" applyBorder="1" applyAlignment="1">
      <alignment horizontal="right" indent="1"/>
    </xf>
    <xf numFmtId="38" fontId="10" fillId="3" borderId="13" xfId="0" applyNumberFormat="1" applyFont="1" applyFill="1" applyBorder="1" applyAlignment="1">
      <alignment horizontal="right"/>
    </xf>
    <xf numFmtId="38" fontId="10" fillId="24" borderId="13" xfId="0" applyNumberFormat="1" applyFont="1" applyFill="1" applyBorder="1" applyAlignment="1">
      <alignment horizontal="right"/>
    </xf>
    <xf numFmtId="10" fontId="10" fillId="3" borderId="10" xfId="0" applyNumberFormat="1" applyFont="1" applyFill="1" applyBorder="1" applyAlignment="1">
      <alignment horizontal="right"/>
    </xf>
    <xf numFmtId="38" fontId="10" fillId="0" borderId="96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 indent="1"/>
    </xf>
    <xf numFmtId="38" fontId="10" fillId="3" borderId="7" xfId="0" applyNumberFormat="1" applyFont="1" applyFill="1" applyBorder="1" applyAlignment="1">
      <alignment horizontal="right"/>
    </xf>
    <xf numFmtId="38" fontId="10" fillId="24" borderId="7" xfId="0" applyNumberFormat="1" applyFont="1" applyFill="1" applyBorder="1" applyAlignment="1">
      <alignment horizontal="right"/>
    </xf>
    <xf numFmtId="10" fontId="10" fillId="3" borderId="7" xfId="0" applyNumberFormat="1" applyFont="1" applyFill="1" applyBorder="1" applyAlignment="1">
      <alignment horizontal="right"/>
    </xf>
    <xf numFmtId="0" fontId="0" fillId="0" borderId="7" xfId="0" applyBorder="1" applyAlignment="1">
      <alignment horizontal="right"/>
    </xf>
    <xf numFmtId="38" fontId="10" fillId="0" borderId="73" xfId="0" applyNumberFormat="1" applyFont="1" applyBorder="1" applyAlignment="1">
      <alignment horizontal="right"/>
    </xf>
    <xf numFmtId="38" fontId="10" fillId="0" borderId="12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38" fontId="28" fillId="0" borderId="7" xfId="0" applyNumberFormat="1" applyFont="1" applyBorder="1" applyAlignment="1">
      <alignment horizontal="right"/>
    </xf>
    <xf numFmtId="38" fontId="28" fillId="24" borderId="7" xfId="0" applyNumberFormat="1" applyFont="1" applyFill="1" applyBorder="1" applyAlignment="1">
      <alignment horizontal="right"/>
    </xf>
    <xf numFmtId="10" fontId="28" fillId="0" borderId="7" xfId="0" applyNumberFormat="1" applyFont="1" applyBorder="1" applyAlignment="1">
      <alignment horizontal="right"/>
    </xf>
    <xf numFmtId="38" fontId="28" fillId="0" borderId="73" xfId="0" applyNumberFormat="1" applyFont="1" applyBorder="1" applyAlignment="1">
      <alignment horizontal="right"/>
    </xf>
    <xf numFmtId="38" fontId="28" fillId="0" borderId="12" xfId="0" applyNumberFormat="1" applyFont="1" applyBorder="1" applyAlignment="1">
      <alignment horizontal="right"/>
    </xf>
    <xf numFmtId="38" fontId="15" fillId="0" borderId="79" xfId="0" applyNumberFormat="1" applyFont="1" applyBorder="1" applyAlignment="1">
      <alignment horizontal="right" wrapText="1"/>
    </xf>
    <xf numFmtId="0" fontId="5" fillId="0" borderId="81" xfId="0" applyFont="1" applyBorder="1" applyAlignment="1">
      <alignment horizontal="right" indent="1"/>
    </xf>
    <xf numFmtId="0" fontId="0" fillId="0" borderId="28" xfId="0" applyBorder="1" applyAlignment="1">
      <alignment horizontal="right" indent="1"/>
    </xf>
    <xf numFmtId="38" fontId="10" fillId="0" borderId="28" xfId="0" applyNumberFormat="1" applyFont="1" applyBorder="1" applyAlignment="1">
      <alignment horizontal="right"/>
    </xf>
    <xf numFmtId="38" fontId="10" fillId="24" borderId="28" xfId="0" applyNumberFormat="1" applyFont="1" applyFill="1" applyBorder="1" applyAlignment="1">
      <alignment horizontal="right"/>
    </xf>
    <xf numFmtId="10" fontId="10" fillId="0" borderId="19" xfId="0" applyNumberFormat="1" applyFont="1" applyBorder="1" applyAlignment="1">
      <alignment horizontal="right"/>
    </xf>
    <xf numFmtId="38" fontId="10" fillId="0" borderId="82" xfId="0" applyNumberFormat="1" applyFont="1" applyBorder="1" applyAlignment="1">
      <alignment horizontal="right"/>
    </xf>
    <xf numFmtId="38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0" fontId="6" fillId="0" borderId="62" xfId="0" applyFont="1" applyBorder="1" applyAlignment="1">
      <alignment horizontal="right"/>
    </xf>
    <xf numFmtId="0" fontId="7" fillId="0" borderId="0" xfId="0" applyFont="1" applyAlignment="1">
      <alignment horizontal="right" wrapText="1"/>
    </xf>
    <xf numFmtId="38" fontId="10" fillId="0" borderId="29" xfId="0" applyNumberFormat="1" applyFont="1" applyBorder="1" applyAlignment="1">
      <alignment horizontal="right"/>
    </xf>
    <xf numFmtId="38" fontId="10" fillId="24" borderId="29" xfId="0" applyNumberFormat="1" applyFont="1" applyFill="1" applyBorder="1" applyAlignment="1">
      <alignment horizontal="right"/>
    </xf>
    <xf numFmtId="10" fontId="10" fillId="0" borderId="22" xfId="0" applyNumberFormat="1" applyFont="1" applyBorder="1" applyAlignment="1">
      <alignment horizontal="right"/>
    </xf>
    <xf numFmtId="38" fontId="10" fillId="0" borderId="78" xfId="0" applyNumberFormat="1" applyFont="1" applyBorder="1" applyAlignment="1">
      <alignment horizontal="right"/>
    </xf>
    <xf numFmtId="10" fontId="10" fillId="0" borderId="29" xfId="0" applyNumberFormat="1" applyFont="1" applyBorder="1" applyAlignment="1">
      <alignment horizontal="right"/>
    </xf>
    <xf numFmtId="0" fontId="10" fillId="0" borderId="133" xfId="0" applyFont="1" applyBorder="1" applyAlignment="1">
      <alignment horizontal="right" wrapText="1"/>
    </xf>
    <xf numFmtId="0" fontId="7" fillId="0" borderId="5" xfId="0" applyFont="1" applyBorder="1" applyAlignment="1">
      <alignment horizontal="right" wrapText="1" indent="2"/>
    </xf>
    <xf numFmtId="38" fontId="10" fillId="0" borderId="5" xfId="0" applyNumberFormat="1" applyFont="1" applyBorder="1" applyAlignment="1">
      <alignment horizontal="right"/>
    </xf>
    <xf numFmtId="38" fontId="10" fillId="24" borderId="5" xfId="0" applyNumberFormat="1" applyFont="1" applyFill="1" applyBorder="1" applyAlignment="1">
      <alignment horizontal="right"/>
    </xf>
    <xf numFmtId="10" fontId="10" fillId="0" borderId="26" xfId="0" applyNumberFormat="1" applyFont="1" applyBorder="1" applyAlignment="1">
      <alignment horizontal="right"/>
    </xf>
    <xf numFmtId="38" fontId="10" fillId="0" borderId="90" xfId="0" applyNumberFormat="1" applyFont="1" applyBorder="1" applyAlignment="1">
      <alignment horizontal="right"/>
    </xf>
    <xf numFmtId="9" fontId="10" fillId="0" borderId="0" xfId="0" applyNumberFormat="1" applyFont="1" applyAlignment="1">
      <alignment horizontal="right"/>
    </xf>
    <xf numFmtId="0" fontId="10" fillId="0" borderId="129" xfId="0" applyFont="1" applyBorder="1" applyAlignment="1">
      <alignment horizontal="right" wrapText="1"/>
    </xf>
    <xf numFmtId="38" fontId="10" fillId="11" borderId="84" xfId="0" applyNumberFormat="1" applyFont="1" applyFill="1" applyBorder="1" applyAlignment="1">
      <alignment horizontal="right"/>
    </xf>
    <xf numFmtId="9" fontId="10" fillId="11" borderId="7" xfId="0" applyNumberFormat="1" applyFont="1" applyFill="1" applyBorder="1" applyAlignment="1">
      <alignment horizontal="right"/>
    </xf>
    <xf numFmtId="0" fontId="10" fillId="0" borderId="148" xfId="0" applyFont="1" applyBorder="1" applyAlignment="1">
      <alignment horizontal="right" wrapText="1"/>
    </xf>
    <xf numFmtId="38" fontId="10" fillId="0" borderId="37" xfId="0" applyNumberFormat="1" applyFont="1" applyBorder="1" applyAlignment="1">
      <alignment horizontal="right"/>
    </xf>
    <xf numFmtId="38" fontId="10" fillId="0" borderId="10" xfId="0" applyNumberFormat="1" applyFont="1" applyBorder="1" applyAlignment="1">
      <alignment horizontal="right" wrapText="1"/>
    </xf>
    <xf numFmtId="38" fontId="10" fillId="11" borderId="158" xfId="0" applyNumberFormat="1" applyFont="1" applyFill="1" applyBorder="1" applyAlignment="1">
      <alignment horizontal="right"/>
    </xf>
    <xf numFmtId="38" fontId="10" fillId="0" borderId="36" xfId="0" applyNumberFormat="1" applyFont="1" applyBorder="1" applyAlignment="1">
      <alignment horizontal="right"/>
    </xf>
    <xf numFmtId="38" fontId="10" fillId="11" borderId="159" xfId="0" applyNumberFormat="1" applyFont="1" applyFill="1" applyBorder="1" applyAlignment="1">
      <alignment horizontal="right"/>
    </xf>
    <xf numFmtId="38" fontId="0" fillId="0" borderId="0" xfId="0" applyNumberFormat="1" applyAlignment="1">
      <alignment horizontal="right"/>
    </xf>
    <xf numFmtId="38" fontId="15" fillId="11" borderId="98" xfId="0" applyNumberFormat="1" applyFont="1" applyFill="1" applyBorder="1" applyAlignment="1">
      <alignment horizontal="right"/>
    </xf>
    <xf numFmtId="0" fontId="6" fillId="0" borderId="64" xfId="0" applyFont="1" applyBorder="1" applyAlignment="1">
      <alignment horizontal="right"/>
    </xf>
    <xf numFmtId="0" fontId="7" fillId="0" borderId="3" xfId="0" applyFont="1" applyBorder="1" applyAlignment="1">
      <alignment horizontal="right" indent="2"/>
    </xf>
    <xf numFmtId="38" fontId="15" fillId="0" borderId="30" xfId="0" applyNumberFormat="1" applyFont="1" applyBorder="1" applyAlignment="1">
      <alignment horizontal="right"/>
    </xf>
    <xf numFmtId="38" fontId="15" fillId="24" borderId="30" xfId="0" applyNumberFormat="1" applyFont="1" applyFill="1" applyBorder="1" applyAlignment="1">
      <alignment horizontal="right"/>
    </xf>
    <xf numFmtId="10" fontId="15" fillId="0" borderId="3" xfId="0" applyNumberFormat="1" applyFont="1" applyBorder="1" applyAlignment="1">
      <alignment horizontal="right"/>
    </xf>
    <xf numFmtId="38" fontId="15" fillId="11" borderId="89" xfId="0" applyNumberFormat="1" applyFont="1" applyFill="1" applyBorder="1" applyAlignment="1">
      <alignment horizontal="right"/>
    </xf>
    <xf numFmtId="3" fontId="7" fillId="0" borderId="17" xfId="0" applyNumberFormat="1" applyFont="1" applyBorder="1" applyAlignment="1">
      <alignment horizontal="right" indent="2"/>
    </xf>
    <xf numFmtId="38" fontId="15" fillId="0" borderId="26" xfId="0" applyNumberFormat="1" applyFont="1" applyBorder="1" applyAlignment="1">
      <alignment horizontal="right"/>
    </xf>
    <xf numFmtId="38" fontId="15" fillId="0" borderId="99" xfId="0" applyNumberFormat="1" applyFont="1" applyBorder="1" applyAlignment="1">
      <alignment horizontal="right"/>
    </xf>
    <xf numFmtId="38" fontId="15" fillId="24" borderId="99" xfId="0" applyNumberFormat="1" applyFont="1" applyFill="1" applyBorder="1" applyAlignment="1">
      <alignment horizontal="right"/>
    </xf>
    <xf numFmtId="38" fontId="15" fillId="0" borderId="17" xfId="0" applyNumberFormat="1" applyFont="1" applyBorder="1" applyAlignment="1">
      <alignment horizontal="right"/>
    </xf>
    <xf numFmtId="10" fontId="28" fillId="0" borderId="47" xfId="0" applyNumberFormat="1" applyFont="1" applyBorder="1" applyAlignment="1">
      <alignment horizontal="right"/>
    </xf>
    <xf numFmtId="38" fontId="15" fillId="11" borderId="152" xfId="0" applyNumberFormat="1" applyFont="1" applyFill="1" applyBorder="1" applyAlignment="1">
      <alignment horizontal="right"/>
    </xf>
    <xf numFmtId="0" fontId="6" fillId="0" borderId="61" xfId="0" applyFont="1" applyBorder="1" applyAlignment="1">
      <alignment horizontal="right"/>
    </xf>
    <xf numFmtId="0" fontId="4" fillId="0" borderId="7" xfId="0" applyFont="1" applyBorder="1" applyAlignment="1">
      <alignment horizontal="right" indent="2"/>
    </xf>
    <xf numFmtId="38" fontId="15" fillId="0" borderId="19" xfId="0" applyNumberFormat="1" applyFont="1" applyBorder="1" applyAlignment="1">
      <alignment horizontal="right"/>
    </xf>
    <xf numFmtId="38" fontId="15" fillId="24" borderId="19" xfId="0" applyNumberFormat="1" applyFont="1" applyFill="1" applyBorder="1" applyAlignment="1">
      <alignment horizontal="right"/>
    </xf>
    <xf numFmtId="38" fontId="15" fillId="0" borderId="3" xfId="0" applyNumberFormat="1" applyFont="1" applyBorder="1" applyAlignment="1">
      <alignment horizontal="right"/>
    </xf>
    <xf numFmtId="38" fontId="15" fillId="11" borderId="82" xfId="0" applyNumberFormat="1" applyFont="1" applyFill="1" applyBorder="1" applyAlignment="1">
      <alignment horizontal="right"/>
    </xf>
    <xf numFmtId="0" fontId="4" fillId="0" borderId="18" xfId="0" applyFont="1" applyBorder="1" applyAlignment="1">
      <alignment horizontal="right" indent="2"/>
    </xf>
    <xf numFmtId="38" fontId="15" fillId="3" borderId="10" xfId="0" applyNumberFormat="1" applyFont="1" applyFill="1" applyBorder="1" applyAlignment="1">
      <alignment horizontal="right"/>
    </xf>
    <xf numFmtId="38" fontId="15" fillId="3" borderId="21" xfId="0" applyNumberFormat="1" applyFont="1" applyFill="1" applyBorder="1" applyAlignment="1">
      <alignment horizontal="right"/>
    </xf>
    <xf numFmtId="38" fontId="15" fillId="24" borderId="21" xfId="0" applyNumberFormat="1" applyFont="1" applyFill="1" applyBorder="1" applyAlignment="1">
      <alignment horizontal="right"/>
    </xf>
    <xf numFmtId="10" fontId="15" fillId="3" borderId="21" xfId="0" applyNumberFormat="1" applyFont="1" applyFill="1" applyBorder="1" applyAlignment="1">
      <alignment horizontal="right"/>
    </xf>
    <xf numFmtId="38" fontId="15" fillId="0" borderId="155" xfId="0" applyNumberFormat="1" applyFont="1" applyBorder="1" applyAlignment="1">
      <alignment horizontal="right"/>
    </xf>
    <xf numFmtId="0" fontId="6" fillId="0" borderId="81" xfId="0" applyFont="1" applyBorder="1" applyAlignment="1">
      <alignment horizontal="right"/>
    </xf>
    <xf numFmtId="0" fontId="4" fillId="0" borderId="19" xfId="0" applyFont="1" applyBorder="1" applyAlignment="1">
      <alignment horizontal="right" wrapText="1" indent="1"/>
    </xf>
    <xf numFmtId="38" fontId="15" fillId="0" borderId="21" xfId="0" applyNumberFormat="1" applyFont="1" applyBorder="1" applyAlignment="1">
      <alignment horizontal="right"/>
    </xf>
    <xf numFmtId="0" fontId="6" fillId="0" borderId="142" xfId="0" applyFont="1" applyBorder="1" applyAlignment="1">
      <alignment horizontal="right"/>
    </xf>
    <xf numFmtId="0" fontId="4" fillId="0" borderId="21" xfId="0" applyFont="1" applyBorder="1" applyAlignment="1">
      <alignment horizontal="right" indent="1"/>
    </xf>
    <xf numFmtId="10" fontId="10" fillId="0" borderId="21" xfId="0" applyNumberFormat="1" applyFont="1" applyBorder="1" applyAlignment="1">
      <alignment horizontal="right"/>
    </xf>
    <xf numFmtId="0" fontId="4" fillId="0" borderId="17" xfId="0" applyFont="1" applyBorder="1" applyAlignment="1">
      <alignment horizontal="right" indent="1"/>
    </xf>
    <xf numFmtId="38" fontId="10" fillId="0" borderId="21" xfId="0" applyNumberFormat="1" applyFont="1" applyBorder="1" applyAlignment="1">
      <alignment horizontal="right"/>
    </xf>
    <xf numFmtId="0" fontId="4" fillId="0" borderId="161" xfId="0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38" fontId="28" fillId="0" borderId="47" xfId="0" applyNumberFormat="1" applyFont="1" applyBorder="1" applyAlignment="1">
      <alignment horizontal="right"/>
    </xf>
    <xf numFmtId="38" fontId="28" fillId="24" borderId="47" xfId="0" applyNumberFormat="1" applyFont="1" applyFill="1" applyBorder="1" applyAlignment="1">
      <alignment horizontal="right"/>
    </xf>
    <xf numFmtId="38" fontId="28" fillId="0" borderId="162" xfId="0" applyNumberFormat="1" applyFont="1" applyBorder="1" applyAlignment="1">
      <alignment horizontal="right"/>
    </xf>
    <xf numFmtId="38" fontId="15" fillId="29" borderId="123" xfId="0" applyNumberFormat="1" applyFont="1" applyFill="1" applyBorder="1" applyAlignment="1">
      <alignment horizontal="right" wrapText="1"/>
    </xf>
    <xf numFmtId="0" fontId="11" fillId="0" borderId="163" xfId="0" applyFont="1" applyBorder="1" applyAlignment="1">
      <alignment horizontal="right"/>
    </xf>
    <xf numFmtId="38" fontId="10" fillId="0" borderId="31" xfId="0" applyNumberFormat="1" applyFont="1" applyBorder="1" applyAlignment="1">
      <alignment horizontal="right"/>
    </xf>
    <xf numFmtId="38" fontId="10" fillId="0" borderId="94" xfId="0" applyNumberFormat="1" applyFont="1" applyBorder="1" applyAlignment="1">
      <alignment horizontal="right"/>
    </xf>
    <xf numFmtId="38" fontId="10" fillId="24" borderId="94" xfId="0" applyNumberFormat="1" applyFont="1" applyFill="1" applyBorder="1" applyAlignment="1">
      <alignment horizontal="right"/>
    </xf>
    <xf numFmtId="38" fontId="10" fillId="0" borderId="46" xfId="0" applyNumberFormat="1" applyFont="1" applyBorder="1" applyAlignment="1">
      <alignment horizontal="right"/>
    </xf>
    <xf numFmtId="38" fontId="10" fillId="0" borderId="164" xfId="0" applyNumberFormat="1" applyFont="1" applyBorder="1" applyAlignment="1">
      <alignment horizontal="right"/>
    </xf>
    <xf numFmtId="0" fontId="11" fillId="0" borderId="165" xfId="0" applyFont="1" applyBorder="1" applyAlignment="1">
      <alignment horizontal="right"/>
    </xf>
    <xf numFmtId="38" fontId="10" fillId="0" borderId="128" xfId="0" applyNumberFormat="1" applyFont="1" applyBorder="1" applyAlignment="1">
      <alignment horizontal="right"/>
    </xf>
    <xf numFmtId="0" fontId="6" fillId="0" borderId="166" xfId="0" applyFont="1" applyBorder="1" applyAlignment="1">
      <alignment horizontal="right"/>
    </xf>
    <xf numFmtId="0" fontId="7" fillId="0" borderId="18" xfId="0" applyFont="1" applyBorder="1" applyAlignment="1">
      <alignment horizontal="right" indent="1"/>
    </xf>
    <xf numFmtId="38" fontId="15" fillId="0" borderId="18" xfId="0" applyNumberFormat="1" applyFont="1" applyBorder="1" applyAlignment="1">
      <alignment horizontal="right"/>
    </xf>
    <xf numFmtId="38" fontId="15" fillId="24" borderId="18" xfId="0" applyNumberFormat="1" applyFont="1" applyFill="1" applyBorder="1" applyAlignment="1">
      <alignment horizontal="right"/>
    </xf>
    <xf numFmtId="10" fontId="15" fillId="0" borderId="18" xfId="0" applyNumberFormat="1" applyFont="1" applyBorder="1" applyAlignment="1">
      <alignment horizontal="right"/>
    </xf>
    <xf numFmtId="38" fontId="15" fillId="0" borderId="77" xfId="0" applyNumberFormat="1" applyFont="1" applyBorder="1" applyAlignment="1">
      <alignment horizontal="right"/>
    </xf>
    <xf numFmtId="38" fontId="15" fillId="0" borderId="154" xfId="0" applyNumberFormat="1" applyFont="1" applyBorder="1" applyAlignment="1">
      <alignment horizontal="right"/>
    </xf>
    <xf numFmtId="38" fontId="15" fillId="0" borderId="25" xfId="0" applyNumberFormat="1" applyFont="1" applyBorder="1" applyAlignment="1">
      <alignment horizontal="right"/>
    </xf>
    <xf numFmtId="38" fontId="10" fillId="11" borderId="36" xfId="0" applyNumberFormat="1" applyFont="1" applyFill="1" applyBorder="1" applyAlignment="1">
      <alignment horizontal="right"/>
    </xf>
    <xf numFmtId="38" fontId="10" fillId="11" borderId="30" xfId="0" applyNumberFormat="1" applyFont="1" applyFill="1" applyBorder="1" applyAlignment="1">
      <alignment horizontal="right"/>
    </xf>
    <xf numFmtId="9" fontId="10" fillId="11" borderId="18" xfId="0" applyNumberFormat="1" applyFont="1" applyFill="1" applyBorder="1" applyAlignment="1">
      <alignment horizontal="right"/>
    </xf>
    <xf numFmtId="9" fontId="10" fillId="11" borderId="8" xfId="0" applyNumberFormat="1" applyFont="1" applyFill="1" applyBorder="1" applyAlignment="1">
      <alignment horizontal="right"/>
    </xf>
    <xf numFmtId="38" fontId="10" fillId="0" borderId="27" xfId="0" applyNumberFormat="1" applyFont="1" applyBorder="1" applyAlignment="1">
      <alignment horizontal="right"/>
    </xf>
    <xf numFmtId="38" fontId="10" fillId="11" borderId="27" xfId="0" applyNumberFormat="1" applyFont="1" applyFill="1" applyBorder="1" applyAlignment="1">
      <alignment horizontal="right"/>
    </xf>
    <xf numFmtId="38" fontId="10" fillId="11" borderId="135" xfId="0" applyNumberFormat="1" applyFont="1" applyFill="1" applyBorder="1" applyAlignment="1">
      <alignment horizontal="right"/>
    </xf>
    <xf numFmtId="0" fontId="7" fillId="0" borderId="10" xfId="0" applyFont="1" applyBorder="1" applyAlignment="1">
      <alignment horizontal="right" indent="1"/>
    </xf>
    <xf numFmtId="38" fontId="15" fillId="24" borderId="17" xfId="0" applyNumberFormat="1" applyFont="1" applyFill="1" applyBorder="1" applyAlignment="1">
      <alignment horizontal="right"/>
    </xf>
    <xf numFmtId="38" fontId="15" fillId="11" borderId="72" xfId="0" applyNumberFormat="1" applyFont="1" applyFill="1" applyBorder="1" applyAlignment="1">
      <alignment horizontal="right"/>
    </xf>
    <xf numFmtId="38" fontId="10" fillId="11" borderId="0" xfId="0" applyNumberFormat="1" applyFont="1" applyFill="1" applyAlignment="1">
      <alignment horizontal="right"/>
    </xf>
    <xf numFmtId="0" fontId="6" fillId="0" borderId="167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10" fontId="15" fillId="0" borderId="14" xfId="0" applyNumberFormat="1" applyFont="1" applyBorder="1" applyAlignment="1">
      <alignment horizontal="right"/>
    </xf>
    <xf numFmtId="43" fontId="0" fillId="0" borderId="0" xfId="1" applyFont="1" applyBorder="1" applyAlignment="1">
      <alignment horizontal="right"/>
    </xf>
    <xf numFmtId="43" fontId="0" fillId="0" borderId="0" xfId="0" applyNumberFormat="1" applyAlignment="1">
      <alignment horizontal="right"/>
    </xf>
    <xf numFmtId="38" fontId="28" fillId="11" borderId="162" xfId="0" applyNumberFormat="1" applyFont="1" applyFill="1" applyBorder="1" applyAlignment="1">
      <alignment horizontal="right"/>
    </xf>
    <xf numFmtId="38" fontId="15" fillId="11" borderId="123" xfId="0" applyNumberFormat="1" applyFont="1" applyFill="1" applyBorder="1" applyAlignment="1">
      <alignment horizontal="right" wrapText="1"/>
    </xf>
    <xf numFmtId="0" fontId="6" fillId="0" borderId="168" xfId="0" applyFont="1" applyBorder="1" applyAlignment="1">
      <alignment horizontal="right"/>
    </xf>
    <xf numFmtId="0" fontId="4" fillId="0" borderId="45" xfId="0" applyFont="1" applyBorder="1" applyAlignment="1">
      <alignment horizontal="right"/>
    </xf>
    <xf numFmtId="38" fontId="10" fillId="0" borderId="44" xfId="0" applyNumberFormat="1" applyFont="1" applyBorder="1" applyAlignment="1">
      <alignment horizontal="right"/>
    </xf>
    <xf numFmtId="0" fontId="10" fillId="0" borderId="78" xfId="0" applyFont="1" applyBorder="1" applyAlignment="1">
      <alignment horizontal="right" wrapText="1"/>
    </xf>
    <xf numFmtId="0" fontId="6" fillId="0" borderId="80" xfId="0" applyFont="1" applyBorder="1" applyAlignment="1">
      <alignment horizontal="right"/>
    </xf>
    <xf numFmtId="0" fontId="5" fillId="0" borderId="5" xfId="0" applyFont="1" applyBorder="1" applyAlignment="1">
      <alignment horizontal="right" indent="1"/>
    </xf>
    <xf numFmtId="38" fontId="28" fillId="0" borderId="26" xfId="0" applyNumberFormat="1" applyFont="1" applyBorder="1" applyAlignment="1">
      <alignment horizontal="right"/>
    </xf>
    <xf numFmtId="38" fontId="28" fillId="24" borderId="95" xfId="0" applyNumberFormat="1" applyFont="1" applyFill="1" applyBorder="1" applyAlignment="1">
      <alignment horizontal="right"/>
    </xf>
    <xf numFmtId="38" fontId="28" fillId="0" borderId="95" xfId="0" applyNumberFormat="1" applyFont="1" applyBorder="1" applyAlignment="1">
      <alignment horizontal="right"/>
    </xf>
    <xf numFmtId="38" fontId="28" fillId="0" borderId="169" xfId="0" applyNumberFormat="1" applyFont="1" applyBorder="1" applyAlignment="1">
      <alignment horizontal="right"/>
    </xf>
    <xf numFmtId="10" fontId="10" fillId="11" borderId="7" xfId="0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right" indent="1"/>
    </xf>
    <xf numFmtId="38" fontId="28" fillId="24" borderId="12" xfId="0" applyNumberFormat="1" applyFont="1" applyFill="1" applyBorder="1" applyAlignment="1">
      <alignment horizontal="right"/>
    </xf>
    <xf numFmtId="38" fontId="28" fillId="0" borderId="98" xfId="0" applyNumberFormat="1" applyFont="1" applyBorder="1" applyAlignment="1">
      <alignment horizontal="right"/>
    </xf>
    <xf numFmtId="38" fontId="10" fillId="11" borderId="11" xfId="0" applyNumberFormat="1" applyFont="1" applyFill="1" applyBorder="1" applyAlignment="1">
      <alignment horizontal="right"/>
    </xf>
    <xf numFmtId="0" fontId="7" fillId="0" borderId="0" xfId="0" applyFont="1" applyAlignment="1">
      <alignment horizontal="right" indent="1"/>
    </xf>
    <xf numFmtId="0" fontId="10" fillId="0" borderId="82" xfId="0" applyFont="1" applyBorder="1" applyAlignment="1">
      <alignment horizontal="right" wrapText="1"/>
    </xf>
    <xf numFmtId="0" fontId="12" fillId="4" borderId="0" xfId="0" applyFont="1" applyFill="1" applyAlignment="1">
      <alignment horizontal="right" wrapText="1" indent="1"/>
    </xf>
    <xf numFmtId="38" fontId="7" fillId="0" borderId="8" xfId="0" applyNumberFormat="1" applyFont="1" applyBorder="1" applyAlignment="1">
      <alignment horizontal="right"/>
    </xf>
    <xf numFmtId="38" fontId="7" fillId="3" borderId="7" xfId="0" applyNumberFormat="1" applyFont="1" applyFill="1" applyBorder="1" applyAlignment="1">
      <alignment horizontal="right"/>
    </xf>
    <xf numFmtId="38" fontId="7" fillId="26" borderId="7" xfId="0" applyNumberFormat="1" applyFont="1" applyFill="1" applyBorder="1" applyAlignment="1">
      <alignment horizontal="right"/>
    </xf>
    <xf numFmtId="10" fontId="7" fillId="3" borderId="7" xfId="0" applyNumberFormat="1" applyFont="1" applyFill="1" applyBorder="1" applyAlignment="1">
      <alignment horizontal="right"/>
    </xf>
    <xf numFmtId="38" fontId="7" fillId="3" borderId="73" xfId="0" applyNumberFormat="1" applyFont="1" applyFill="1" applyBorder="1" applyAlignment="1">
      <alignment horizontal="right"/>
    </xf>
    <xf numFmtId="38" fontId="7" fillId="3" borderId="12" xfId="0" applyNumberFormat="1" applyFont="1" applyFill="1" applyBorder="1" applyAlignment="1">
      <alignment horizontal="right"/>
    </xf>
    <xf numFmtId="0" fontId="6" fillId="0" borderId="56" xfId="0" applyFont="1" applyBorder="1" applyAlignment="1">
      <alignment horizontal="right"/>
    </xf>
    <xf numFmtId="0" fontId="5" fillId="0" borderId="134" xfId="0" applyFont="1" applyBorder="1" applyAlignment="1">
      <alignment horizontal="right" wrapText="1"/>
    </xf>
    <xf numFmtId="38" fontId="28" fillId="0" borderId="19" xfId="0" applyNumberFormat="1" applyFont="1" applyBorder="1" applyAlignment="1">
      <alignment horizontal="right"/>
    </xf>
    <xf numFmtId="38" fontId="28" fillId="24" borderId="19" xfId="0" applyNumberFormat="1" applyFont="1" applyFill="1" applyBorder="1" applyAlignment="1">
      <alignment horizontal="right"/>
    </xf>
    <xf numFmtId="10" fontId="28" fillId="0" borderId="3" xfId="0" applyNumberFormat="1" applyFont="1" applyBorder="1" applyAlignment="1">
      <alignment horizontal="right"/>
    </xf>
    <xf numFmtId="0" fontId="10" fillId="0" borderId="18" xfId="0" applyFont="1" applyBorder="1" applyAlignment="1">
      <alignment horizontal="right" wrapText="1"/>
    </xf>
    <xf numFmtId="0" fontId="0" fillId="0" borderId="28" xfId="0" applyBorder="1" applyAlignment="1">
      <alignment horizontal="right"/>
    </xf>
    <xf numFmtId="38" fontId="0" fillId="0" borderId="28" xfId="0" applyNumberFormat="1" applyBorder="1" applyAlignment="1">
      <alignment horizontal="right"/>
    </xf>
    <xf numFmtId="38" fontId="28" fillId="0" borderId="82" xfId="0" applyNumberFormat="1" applyFont="1" applyBorder="1" applyAlignment="1">
      <alignment horizontal="right"/>
    </xf>
    <xf numFmtId="38" fontId="28" fillId="0" borderId="28" xfId="0" applyNumberFormat="1" applyFont="1" applyBorder="1" applyAlignment="1">
      <alignment horizontal="right"/>
    </xf>
    <xf numFmtId="0" fontId="10" fillId="0" borderId="132" xfId="0" applyFont="1" applyBorder="1" applyAlignment="1">
      <alignment horizontal="right" wrapText="1"/>
    </xf>
    <xf numFmtId="0" fontId="4" fillId="0" borderId="0" xfId="0" applyFont="1" applyAlignment="1">
      <alignment horizontal="right"/>
    </xf>
    <xf numFmtId="38" fontId="10" fillId="24" borderId="0" xfId="0" applyNumberFormat="1" applyFont="1" applyFill="1" applyAlignment="1">
      <alignment horizontal="right"/>
    </xf>
    <xf numFmtId="0" fontId="10" fillId="0" borderId="22" xfId="0" applyFont="1" applyBorder="1" applyAlignment="1">
      <alignment horizontal="right" wrapText="1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28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38" fontId="10" fillId="0" borderId="11" xfId="0" applyNumberFormat="1" applyFont="1" applyBorder="1" applyAlignment="1">
      <alignment horizontal="right"/>
    </xf>
    <xf numFmtId="38" fontId="10" fillId="24" borderId="11" xfId="0" applyNumberFormat="1" applyFont="1" applyFill="1" applyBorder="1" applyAlignment="1">
      <alignment horizontal="right"/>
    </xf>
    <xf numFmtId="0" fontId="0" fillId="0" borderId="0" xfId="0" applyAlignment="1">
      <alignment horizontal="right" wrapText="1"/>
    </xf>
    <xf numFmtId="0" fontId="6" fillId="0" borderId="6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10" fontId="10" fillId="0" borderId="69" xfId="0" applyNumberFormat="1" applyFont="1" applyBorder="1" applyAlignment="1">
      <alignment horizontal="right"/>
    </xf>
    <xf numFmtId="0" fontId="10" fillId="0" borderId="11" xfId="0" applyFont="1" applyBorder="1" applyAlignment="1">
      <alignment horizontal="right" wrapText="1"/>
    </xf>
    <xf numFmtId="38" fontId="10" fillId="0" borderId="22" xfId="0" applyNumberFormat="1" applyFont="1" applyBorder="1" applyAlignment="1">
      <alignment horizontal="right"/>
    </xf>
    <xf numFmtId="38" fontId="10" fillId="24" borderId="22" xfId="0" applyNumberFormat="1" applyFont="1" applyFill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38" fontId="5" fillId="0" borderId="33" xfId="0" applyNumberFormat="1" applyFont="1" applyBorder="1" applyAlignment="1">
      <alignment horizontal="right"/>
    </xf>
    <xf numFmtId="38" fontId="5" fillId="24" borderId="33" xfId="0" applyNumberFormat="1" applyFont="1" applyFill="1" applyBorder="1" applyAlignment="1">
      <alignment horizontal="right"/>
    </xf>
    <xf numFmtId="10" fontId="5" fillId="0" borderId="69" xfId="0" applyNumberFormat="1" applyFont="1" applyBorder="1" applyAlignment="1">
      <alignment horizontal="right"/>
    </xf>
    <xf numFmtId="0" fontId="10" fillId="0" borderId="26" xfId="0" applyFont="1" applyBorder="1" applyAlignment="1">
      <alignment horizontal="right" wrapText="1"/>
    </xf>
    <xf numFmtId="38" fontId="5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38" fontId="5" fillId="24" borderId="0" xfId="0" applyNumberFormat="1" applyFont="1" applyFill="1" applyAlignment="1">
      <alignment horizontal="right"/>
    </xf>
    <xf numFmtId="10" fontId="5" fillId="0" borderId="0" xfId="0" applyNumberFormat="1" applyFont="1" applyAlignment="1">
      <alignment horizontal="right"/>
    </xf>
    <xf numFmtId="38" fontId="0" fillId="0" borderId="5" xfId="0" applyNumberFormat="1" applyBorder="1" applyAlignment="1">
      <alignment horizontal="right"/>
    </xf>
    <xf numFmtId="0" fontId="46" fillId="0" borderId="7" xfId="0" applyFont="1" applyBorder="1" applyAlignment="1">
      <alignment horizontal="right"/>
    </xf>
    <xf numFmtId="0" fontId="0" fillId="10" borderId="7" xfId="0" applyFill="1" applyBorder="1" applyAlignment="1">
      <alignment horizontal="right"/>
    </xf>
    <xf numFmtId="0" fontId="46" fillId="10" borderId="7" xfId="0" applyFont="1" applyFill="1" applyBorder="1" applyAlignment="1">
      <alignment horizontal="right"/>
    </xf>
    <xf numFmtId="38" fontId="10" fillId="10" borderId="7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14" fillId="22" borderId="13" xfId="0" applyFont="1" applyFill="1" applyBorder="1" applyAlignment="1">
      <alignment horizontal="right"/>
    </xf>
    <xf numFmtId="38" fontId="10" fillId="0" borderId="14" xfId="0" applyNumberFormat="1" applyFont="1" applyBorder="1" applyAlignment="1">
      <alignment horizontal="right"/>
    </xf>
    <xf numFmtId="38" fontId="10" fillId="24" borderId="14" xfId="0" applyNumberFormat="1" applyFont="1" applyFill="1" applyBorder="1" applyAlignment="1">
      <alignment horizontal="right"/>
    </xf>
    <xf numFmtId="43" fontId="0" fillId="0" borderId="0" xfId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20" fillId="0" borderId="6" xfId="0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/>
    </xf>
    <xf numFmtId="3" fontId="10" fillId="0" borderId="73" xfId="0" applyNumberFormat="1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3" fontId="10" fillId="0" borderId="96" xfId="0" applyNumberFormat="1" applyFont="1" applyBorder="1" applyAlignment="1">
      <alignment horizontal="right"/>
    </xf>
    <xf numFmtId="0" fontId="15" fillId="0" borderId="79" xfId="0" applyFont="1" applyBorder="1" applyAlignment="1">
      <alignment horizontal="right"/>
    </xf>
    <xf numFmtId="0" fontId="21" fillId="0" borderId="7" xfId="0" applyFont="1" applyBorder="1" applyAlignment="1">
      <alignment horizontal="right" wrapText="1"/>
    </xf>
    <xf numFmtId="3" fontId="15" fillId="0" borderId="8" xfId="0" applyNumberFormat="1" applyFont="1" applyBorder="1" applyAlignment="1">
      <alignment horizontal="right" wrapText="1"/>
    </xf>
    <xf numFmtId="3" fontId="15" fillId="0" borderId="90" xfId="0" applyNumberFormat="1" applyFont="1" applyBorder="1" applyAlignment="1">
      <alignment horizontal="right" wrapText="1"/>
    </xf>
    <xf numFmtId="3" fontId="15" fillId="24" borderId="79" xfId="0" applyNumberFormat="1" applyFont="1" applyFill="1" applyBorder="1" applyAlignment="1">
      <alignment horizontal="right" wrapText="1"/>
    </xf>
    <xf numFmtId="3" fontId="15" fillId="0" borderId="7" xfId="0" applyNumberFormat="1" applyFont="1" applyBorder="1" applyAlignment="1">
      <alignment horizontal="right" wrapText="1"/>
    </xf>
    <xf numFmtId="3" fontId="15" fillId="0" borderId="86" xfId="0" applyNumberFormat="1" applyFont="1" applyBorder="1" applyAlignment="1">
      <alignment horizontal="right" wrapText="1"/>
    </xf>
    <xf numFmtId="0" fontId="10" fillId="0" borderId="11" xfId="0" applyFont="1" applyBorder="1" applyAlignment="1">
      <alignment horizontal="right"/>
    </xf>
    <xf numFmtId="3" fontId="15" fillId="27" borderId="140" xfId="0" applyNumberFormat="1" applyFont="1" applyFill="1" applyBorder="1" applyAlignment="1">
      <alignment horizontal="right" wrapText="1"/>
    </xf>
    <xf numFmtId="3" fontId="15" fillId="27" borderId="70" xfId="0" applyNumberFormat="1" applyFont="1" applyFill="1" applyBorder="1" applyAlignment="1">
      <alignment horizontal="right" wrapText="1"/>
    </xf>
    <xf numFmtId="3" fontId="15" fillId="27" borderId="127" xfId="0" applyNumberFormat="1" applyFont="1" applyFill="1" applyBorder="1" applyAlignment="1">
      <alignment horizontal="right" wrapText="1"/>
    </xf>
    <xf numFmtId="3" fontId="15" fillId="29" borderId="140" xfId="0" applyNumberFormat="1" applyFont="1" applyFill="1" applyBorder="1" applyAlignment="1">
      <alignment horizontal="right" wrapText="1"/>
    </xf>
    <xf numFmtId="0" fontId="15" fillId="0" borderId="123" xfId="0" applyFont="1" applyBorder="1" applyAlignment="1">
      <alignment horizontal="right"/>
    </xf>
    <xf numFmtId="0" fontId="4" fillId="0" borderId="75" xfId="0" applyFont="1" applyBorder="1" applyAlignment="1">
      <alignment horizontal="right"/>
    </xf>
    <xf numFmtId="0" fontId="22" fillId="0" borderId="37" xfId="0" applyFont="1" applyBorder="1" applyAlignment="1">
      <alignment horizontal="right" wrapText="1" indent="2"/>
    </xf>
    <xf numFmtId="0" fontId="10" fillId="0" borderId="34" xfId="0" applyFont="1" applyBorder="1" applyAlignment="1">
      <alignment horizontal="right"/>
    </xf>
    <xf numFmtId="0" fontId="10" fillId="24" borderId="9" xfId="0" applyFont="1" applyFill="1" applyBorder="1" applyAlignment="1">
      <alignment horizontal="right"/>
    </xf>
    <xf numFmtId="0" fontId="10" fillId="0" borderId="88" xfId="0" applyFont="1" applyBorder="1" applyAlignment="1">
      <alignment horizontal="right"/>
    </xf>
    <xf numFmtId="0" fontId="10" fillId="0" borderId="27" xfId="0" applyFont="1" applyBorder="1" applyAlignment="1">
      <alignment horizontal="right"/>
    </xf>
    <xf numFmtId="0" fontId="10" fillId="0" borderId="130" xfId="0" applyFont="1" applyBorder="1" applyAlignment="1">
      <alignment horizontal="right"/>
    </xf>
    <xf numFmtId="0" fontId="10" fillId="0" borderId="129" xfId="0" applyFont="1" applyBorder="1" applyAlignment="1">
      <alignment horizontal="right"/>
    </xf>
    <xf numFmtId="38" fontId="10" fillId="24" borderId="69" xfId="0" applyNumberFormat="1" applyFont="1" applyFill="1" applyBorder="1" applyAlignment="1">
      <alignment horizontal="right"/>
    </xf>
    <xf numFmtId="10" fontId="10" fillId="0" borderId="79" xfId="0" applyNumberFormat="1" applyFont="1" applyBorder="1" applyAlignment="1">
      <alignment horizontal="right"/>
    </xf>
    <xf numFmtId="38" fontId="10" fillId="0" borderId="129" xfId="0" applyNumberFormat="1" applyFont="1" applyBorder="1" applyAlignment="1">
      <alignment horizontal="right"/>
    </xf>
    <xf numFmtId="9" fontId="10" fillId="0" borderId="129" xfId="0" applyNumberFormat="1" applyFont="1" applyBorder="1" applyAlignment="1">
      <alignment horizontal="right"/>
    </xf>
    <xf numFmtId="38" fontId="10" fillId="0" borderId="48" xfId="0" applyNumberFormat="1" applyFont="1" applyBorder="1" applyAlignment="1">
      <alignment horizontal="right"/>
    </xf>
    <xf numFmtId="38" fontId="10" fillId="0" borderId="131" xfId="0" applyNumberFormat="1" applyFont="1" applyBorder="1" applyAlignment="1">
      <alignment horizontal="right"/>
    </xf>
    <xf numFmtId="9" fontId="10" fillId="0" borderId="131" xfId="0" applyNumberFormat="1" applyFont="1" applyBorder="1" applyAlignment="1">
      <alignment horizontal="right"/>
    </xf>
    <xf numFmtId="10" fontId="15" fillId="0" borderId="89" xfId="0" applyNumberFormat="1" applyFont="1" applyBorder="1" applyAlignment="1">
      <alignment horizontal="right"/>
    </xf>
    <xf numFmtId="0" fontId="10" fillId="0" borderId="135" xfId="0" applyFont="1" applyBorder="1" applyAlignment="1">
      <alignment horizontal="right"/>
    </xf>
    <xf numFmtId="38" fontId="15" fillId="0" borderId="136" xfId="0" applyNumberFormat="1" applyFont="1" applyBorder="1" applyAlignment="1">
      <alignment horizontal="right"/>
    </xf>
    <xf numFmtId="38" fontId="10" fillId="0" borderId="132" xfId="0" applyNumberFormat="1" applyFont="1" applyBorder="1" applyAlignment="1">
      <alignment horizontal="right"/>
    </xf>
    <xf numFmtId="9" fontId="10" fillId="0" borderId="136" xfId="0" applyNumberFormat="1" applyFont="1" applyBorder="1" applyAlignment="1">
      <alignment horizontal="right"/>
    </xf>
    <xf numFmtId="0" fontId="22" fillId="0" borderId="43" xfId="0" applyFont="1" applyBorder="1" applyAlignment="1">
      <alignment horizontal="right" wrapText="1" indent="2"/>
    </xf>
    <xf numFmtId="38" fontId="10" fillId="11" borderId="129" xfId="0" applyNumberFormat="1" applyFont="1" applyFill="1" applyBorder="1" applyAlignment="1">
      <alignment horizontal="right"/>
    </xf>
    <xf numFmtId="38" fontId="10" fillId="11" borderId="131" xfId="0" applyNumberFormat="1" applyFont="1" applyFill="1" applyBorder="1" applyAlignment="1">
      <alignment horizontal="right"/>
    </xf>
    <xf numFmtId="9" fontId="10" fillId="11" borderId="132" xfId="0" applyNumberFormat="1" applyFont="1" applyFill="1" applyBorder="1" applyAlignment="1">
      <alignment horizontal="right"/>
    </xf>
    <xf numFmtId="38" fontId="15" fillId="11" borderId="136" xfId="0" applyNumberFormat="1" applyFont="1" applyFill="1" applyBorder="1" applyAlignment="1">
      <alignment horizontal="right"/>
    </xf>
    <xf numFmtId="38" fontId="10" fillId="11" borderId="132" xfId="0" applyNumberFormat="1" applyFont="1" applyFill="1" applyBorder="1" applyAlignment="1">
      <alignment horizontal="right"/>
    </xf>
    <xf numFmtId="9" fontId="10" fillId="11" borderId="123" xfId="0" applyNumberFormat="1" applyFont="1" applyFill="1" applyBorder="1" applyAlignment="1">
      <alignment horizontal="right"/>
    </xf>
    <xf numFmtId="0" fontId="7" fillId="11" borderId="34" xfId="0" applyFont="1" applyFill="1" applyBorder="1" applyAlignment="1">
      <alignment horizontal="right" wrapText="1" indent="2"/>
    </xf>
    <xf numFmtId="38" fontId="10" fillId="24" borderId="4" xfId="0" applyNumberFormat="1" applyFont="1" applyFill="1" applyBorder="1" applyAlignment="1">
      <alignment horizontal="right"/>
    </xf>
    <xf numFmtId="38" fontId="15" fillId="24" borderId="3" xfId="0" applyNumberFormat="1" applyFont="1" applyFill="1" applyBorder="1" applyAlignment="1">
      <alignment horizontal="right"/>
    </xf>
    <xf numFmtId="38" fontId="15" fillId="11" borderId="132" xfId="0" applyNumberFormat="1" applyFont="1" applyFill="1" applyBorder="1" applyAlignment="1">
      <alignment horizontal="right"/>
    </xf>
    <xf numFmtId="0" fontId="7" fillId="0" borderId="34" xfId="0" applyFont="1" applyBorder="1" applyAlignment="1">
      <alignment horizontal="right" wrapText="1" indent="2"/>
    </xf>
    <xf numFmtId="9" fontId="10" fillId="11" borderId="129" xfId="0" applyNumberFormat="1" applyFont="1" applyFill="1" applyBorder="1" applyAlignment="1">
      <alignment horizontal="right"/>
    </xf>
    <xf numFmtId="38" fontId="10" fillId="0" borderId="3" xfId="0" applyNumberFormat="1" applyFont="1" applyBorder="1" applyAlignment="1">
      <alignment horizontal="right"/>
    </xf>
    <xf numFmtId="38" fontId="10" fillId="0" borderId="87" xfId="0" applyNumberFormat="1" applyFont="1" applyBorder="1" applyAlignment="1">
      <alignment horizontal="right"/>
    </xf>
    <xf numFmtId="38" fontId="10" fillId="24" borderId="2" xfId="0" applyNumberFormat="1" applyFont="1" applyFill="1" applyBorder="1" applyAlignment="1">
      <alignment horizontal="right"/>
    </xf>
    <xf numFmtId="10" fontId="10" fillId="0" borderId="82" xfId="0" applyNumberFormat="1" applyFont="1" applyBorder="1" applyAlignment="1">
      <alignment horizontal="right"/>
    </xf>
    <xf numFmtId="0" fontId="10" fillId="0" borderId="28" xfId="0" applyFont="1" applyBorder="1" applyAlignment="1">
      <alignment horizontal="right"/>
    </xf>
    <xf numFmtId="10" fontId="15" fillId="0" borderId="82" xfId="0" applyNumberFormat="1" applyFont="1" applyBorder="1" applyAlignment="1">
      <alignment horizontal="right"/>
    </xf>
    <xf numFmtId="0" fontId="15" fillId="0" borderId="28" xfId="0" applyFont="1" applyBorder="1" applyAlignment="1">
      <alignment horizontal="right"/>
    </xf>
    <xf numFmtId="0" fontId="22" fillId="0" borderId="47" xfId="0" applyFont="1" applyBorder="1" applyAlignment="1">
      <alignment horizontal="right" wrapText="1" indent="1"/>
    </xf>
    <xf numFmtId="38" fontId="28" fillId="0" borderId="32" xfId="0" applyNumberFormat="1" applyFont="1" applyBorder="1" applyAlignment="1">
      <alignment horizontal="right"/>
    </xf>
    <xf numFmtId="38" fontId="28" fillId="0" borderId="91" xfId="0" applyNumberFormat="1" applyFont="1" applyBorder="1" applyAlignment="1">
      <alignment horizontal="right"/>
    </xf>
    <xf numFmtId="38" fontId="28" fillId="24" borderId="32" xfId="0" applyNumberFormat="1" applyFont="1" applyFill="1" applyBorder="1" applyAlignment="1">
      <alignment horizontal="right"/>
    </xf>
    <xf numFmtId="10" fontId="15" fillId="0" borderId="91" xfId="0" applyNumberFormat="1" applyFont="1" applyBorder="1" applyAlignment="1">
      <alignment horizontal="right"/>
    </xf>
    <xf numFmtId="38" fontId="28" fillId="11" borderId="137" xfId="0" applyNumberFormat="1" applyFont="1" applyFill="1" applyBorder="1" applyAlignment="1">
      <alignment horizontal="right"/>
    </xf>
    <xf numFmtId="38" fontId="15" fillId="11" borderId="137" xfId="0" applyNumberFormat="1" applyFont="1" applyFill="1" applyBorder="1" applyAlignment="1">
      <alignment horizontal="right"/>
    </xf>
    <xf numFmtId="9" fontId="10" fillId="11" borderId="137" xfId="0" applyNumberFormat="1" applyFont="1" applyFill="1" applyBorder="1" applyAlignment="1">
      <alignment horizontal="right"/>
    </xf>
    <xf numFmtId="0" fontId="22" fillId="0" borderId="42" xfId="0" applyFont="1" applyBorder="1" applyAlignment="1">
      <alignment horizontal="right" wrapText="1" indent="1"/>
    </xf>
    <xf numFmtId="0" fontId="0" fillId="11" borderId="79" xfId="0" applyFill="1" applyBorder="1" applyAlignment="1">
      <alignment horizontal="right"/>
    </xf>
    <xf numFmtId="38" fontId="10" fillId="11" borderId="149" xfId="0" applyNumberFormat="1" applyFont="1" applyFill="1" applyBorder="1" applyAlignment="1">
      <alignment horizontal="right"/>
    </xf>
    <xf numFmtId="9" fontId="10" fillId="11" borderId="149" xfId="0" applyNumberFormat="1" applyFont="1" applyFill="1" applyBorder="1" applyAlignment="1">
      <alignment horizontal="right"/>
    </xf>
    <xf numFmtId="38" fontId="28" fillId="0" borderId="14" xfId="0" applyNumberFormat="1" applyFont="1" applyBorder="1" applyAlignment="1">
      <alignment horizontal="right"/>
    </xf>
    <xf numFmtId="38" fontId="28" fillId="0" borderId="92" xfId="0" applyNumberFormat="1" applyFont="1" applyBorder="1" applyAlignment="1">
      <alignment horizontal="right"/>
    </xf>
    <xf numFmtId="38" fontId="28" fillId="24" borderId="14" xfId="0" applyNumberFormat="1" applyFont="1" applyFill="1" applyBorder="1" applyAlignment="1">
      <alignment horizontal="right"/>
    </xf>
    <xf numFmtId="38" fontId="28" fillId="11" borderId="138" xfId="0" applyNumberFormat="1" applyFont="1" applyFill="1" applyBorder="1" applyAlignment="1">
      <alignment horizontal="right"/>
    </xf>
    <xf numFmtId="38" fontId="27" fillId="11" borderId="150" xfId="0" applyNumberFormat="1" applyFont="1" applyFill="1" applyBorder="1" applyAlignment="1">
      <alignment horizontal="right"/>
    </xf>
    <xf numFmtId="9" fontId="10" fillId="11" borderId="150" xfId="0" applyNumberFormat="1" applyFont="1" applyFill="1" applyBorder="1" applyAlignment="1">
      <alignment horizontal="right"/>
    </xf>
    <xf numFmtId="0" fontId="39" fillId="0" borderId="46" xfId="0" applyFont="1" applyBorder="1" applyAlignment="1">
      <alignment horizontal="right" wrapText="1" indent="1"/>
    </xf>
    <xf numFmtId="10" fontId="10" fillId="0" borderId="90" xfId="0" applyNumberFormat="1" applyFont="1" applyBorder="1" applyAlignment="1">
      <alignment horizontal="right"/>
    </xf>
    <xf numFmtId="0" fontId="10" fillId="0" borderId="5" xfId="0" applyFont="1" applyBorder="1" applyAlignment="1">
      <alignment horizontal="right" wrapText="1"/>
    </xf>
    <xf numFmtId="0" fontId="7" fillId="0" borderId="18" xfId="0" applyFont="1" applyBorder="1" applyAlignment="1">
      <alignment horizontal="right" wrapText="1" indent="1"/>
    </xf>
    <xf numFmtId="0" fontId="10" fillId="0" borderId="135" xfId="0" applyFont="1" applyBorder="1" applyAlignment="1">
      <alignment horizontal="right" wrapText="1"/>
    </xf>
    <xf numFmtId="0" fontId="24" fillId="0" borderId="47" xfId="0" applyFont="1" applyBorder="1" applyAlignment="1">
      <alignment horizontal="right" wrapText="1"/>
    </xf>
    <xf numFmtId="0" fontId="22" fillId="0" borderId="46" xfId="0" applyFont="1" applyBorder="1" applyAlignment="1">
      <alignment horizontal="right" wrapText="1" indent="1"/>
    </xf>
    <xf numFmtId="38" fontId="10" fillId="0" borderId="93" xfId="0" applyNumberFormat="1" applyFont="1" applyBorder="1" applyAlignment="1">
      <alignment horizontal="right"/>
    </xf>
    <xf numFmtId="38" fontId="10" fillId="24" borderId="1" xfId="0" applyNumberFormat="1" applyFont="1" applyFill="1" applyBorder="1" applyAlignment="1">
      <alignment horizontal="right"/>
    </xf>
    <xf numFmtId="38" fontId="10" fillId="11" borderId="139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right" wrapText="1"/>
    </xf>
    <xf numFmtId="38" fontId="15" fillId="0" borderId="87" xfId="0" applyNumberFormat="1" applyFont="1" applyBorder="1" applyAlignment="1">
      <alignment horizontal="right"/>
    </xf>
    <xf numFmtId="38" fontId="28" fillId="11" borderId="153" xfId="0" applyNumberFormat="1" applyFont="1" applyFill="1" applyBorder="1" applyAlignment="1">
      <alignment horizontal="right"/>
    </xf>
    <xf numFmtId="9" fontId="10" fillId="11" borderId="153" xfId="0" applyNumberFormat="1" applyFont="1" applyFill="1" applyBorder="1" applyAlignment="1">
      <alignment horizontal="right"/>
    </xf>
    <xf numFmtId="0" fontId="15" fillId="0" borderId="82" xfId="0" applyFont="1" applyBorder="1" applyAlignment="1">
      <alignment horizontal="right"/>
    </xf>
    <xf numFmtId="0" fontId="10" fillId="0" borderId="170" xfId="0" applyFont="1" applyBorder="1" applyAlignment="1">
      <alignment horizontal="right"/>
    </xf>
    <xf numFmtId="0" fontId="31" fillId="0" borderId="154" xfId="0" applyFont="1" applyBorder="1" applyAlignment="1">
      <alignment horizontal="right"/>
    </xf>
    <xf numFmtId="3" fontId="10" fillId="0" borderId="171" xfId="0" applyNumberFormat="1" applyFont="1" applyBorder="1" applyAlignment="1">
      <alignment horizontal="right"/>
    </xf>
    <xf numFmtId="0" fontId="10" fillId="0" borderId="78" xfId="0" applyFont="1" applyBorder="1" applyAlignment="1">
      <alignment horizontal="right"/>
    </xf>
    <xf numFmtId="0" fontId="0" fillId="0" borderId="29" xfId="0" applyBorder="1" applyAlignment="1">
      <alignment horizontal="right"/>
    </xf>
    <xf numFmtId="3" fontId="10" fillId="0" borderId="172" xfId="0" applyNumberFormat="1" applyFont="1" applyBorder="1" applyAlignment="1">
      <alignment horizontal="right"/>
    </xf>
    <xf numFmtId="0" fontId="10" fillId="0" borderId="173" xfId="0" applyFont="1" applyBorder="1" applyAlignment="1">
      <alignment horizontal="right" wrapText="1"/>
    </xf>
    <xf numFmtId="0" fontId="4" fillId="0" borderId="56" xfId="0" applyFont="1" applyBorder="1" applyAlignment="1">
      <alignment horizontal="right"/>
    </xf>
    <xf numFmtId="0" fontId="4" fillId="0" borderId="21" xfId="0" applyFont="1" applyBorder="1" applyAlignment="1">
      <alignment horizontal="right" wrapText="1"/>
    </xf>
    <xf numFmtId="3" fontId="7" fillId="0" borderId="21" xfId="0" applyNumberFormat="1" applyFont="1" applyBorder="1" applyAlignment="1">
      <alignment horizontal="right" wrapText="1"/>
    </xf>
    <xf numFmtId="3" fontId="7" fillId="24" borderId="21" xfId="0" applyNumberFormat="1" applyFont="1" applyFill="1" applyBorder="1" applyAlignment="1">
      <alignment horizontal="right" wrapText="1"/>
    </xf>
    <xf numFmtId="0" fontId="10" fillId="0" borderId="148" xfId="0" applyFont="1" applyBorder="1" applyAlignment="1">
      <alignment horizontal="right"/>
    </xf>
    <xf numFmtId="3" fontId="7" fillId="25" borderId="21" xfId="0" applyNumberFormat="1" applyFont="1" applyFill="1" applyBorder="1" applyAlignment="1">
      <alignment horizontal="right" wrapText="1"/>
    </xf>
    <xf numFmtId="3" fontId="7" fillId="25" borderId="20" xfId="0" applyNumberFormat="1" applyFont="1" applyFill="1" applyBorder="1" applyAlignment="1">
      <alignment horizontal="right" wrapText="1"/>
    </xf>
    <xf numFmtId="0" fontId="15" fillId="0" borderId="155" xfId="0" applyFont="1" applyBorder="1" applyAlignment="1">
      <alignment horizontal="right" wrapText="1"/>
    </xf>
    <xf numFmtId="3" fontId="7" fillId="29" borderId="21" xfId="0" applyNumberFormat="1" applyFont="1" applyFill="1" applyBorder="1" applyAlignment="1">
      <alignment horizontal="right" wrapText="1"/>
    </xf>
    <xf numFmtId="3" fontId="7" fillId="25" borderId="155" xfId="0" applyNumberFormat="1" applyFont="1" applyFill="1" applyBorder="1" applyAlignment="1">
      <alignment horizontal="right" wrapText="1"/>
    </xf>
    <xf numFmtId="0" fontId="10" fillId="0" borderId="80" xfId="0" applyFont="1" applyBorder="1" applyAlignment="1">
      <alignment horizontal="right"/>
    </xf>
    <xf numFmtId="0" fontId="4" fillId="0" borderId="4" xfId="0" applyFont="1" applyBorder="1" applyAlignment="1">
      <alignment horizontal="right" vertical="top"/>
    </xf>
    <xf numFmtId="0" fontId="10" fillId="0" borderId="8" xfId="0" applyFont="1" applyBorder="1" applyAlignment="1">
      <alignment horizontal="right"/>
    </xf>
    <xf numFmtId="0" fontId="10" fillId="24" borderId="8" xfId="0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0" fillId="0" borderId="86" xfId="0" applyFont="1" applyBorder="1" applyAlignment="1">
      <alignment horizontal="right"/>
    </xf>
    <xf numFmtId="0" fontId="10" fillId="0" borderId="86" xfId="0" applyFont="1" applyBorder="1" applyAlignment="1">
      <alignment horizontal="right" wrapText="1"/>
    </xf>
    <xf numFmtId="0" fontId="10" fillId="0" borderId="74" xfId="0" applyFont="1" applyBorder="1" applyAlignment="1">
      <alignment horizontal="right"/>
    </xf>
    <xf numFmtId="38" fontId="10" fillId="0" borderId="6" xfId="0" applyNumberFormat="1" applyFont="1" applyBorder="1" applyAlignment="1">
      <alignment horizontal="right"/>
    </xf>
    <xf numFmtId="10" fontId="10" fillId="0" borderId="73" xfId="0" applyNumberFormat="1" applyFont="1" applyBorder="1" applyAlignment="1">
      <alignment horizontal="right"/>
    </xf>
    <xf numFmtId="9" fontId="10" fillId="0" borderId="6" xfId="0" applyNumberFormat="1" applyFont="1" applyBorder="1" applyAlignment="1">
      <alignment horizontal="right"/>
    </xf>
    <xf numFmtId="0" fontId="10" fillId="0" borderId="73" xfId="0" applyFont="1" applyBorder="1" applyAlignment="1">
      <alignment horizontal="right" wrapText="1"/>
    </xf>
    <xf numFmtId="38" fontId="10" fillId="11" borderId="7" xfId="0" applyNumberFormat="1" applyFont="1" applyFill="1" applyBorder="1" applyAlignment="1">
      <alignment horizontal="right"/>
    </xf>
    <xf numFmtId="38" fontId="10" fillId="11" borderId="6" xfId="0" applyNumberFormat="1" applyFont="1" applyFill="1" applyBorder="1" applyAlignment="1">
      <alignment horizontal="right"/>
    </xf>
    <xf numFmtId="9" fontId="10" fillId="11" borderId="6" xfId="0" applyNumberFormat="1" applyFont="1" applyFill="1" applyBorder="1" applyAlignment="1">
      <alignment horizontal="right"/>
    </xf>
    <xf numFmtId="0" fontId="53" fillId="0" borderId="73" xfId="0" applyFont="1" applyBorder="1" applyAlignment="1">
      <alignment horizontal="right" wrapText="1"/>
    </xf>
    <xf numFmtId="0" fontId="10" fillId="0" borderId="76" xfId="0" applyFont="1" applyBorder="1" applyAlignment="1">
      <alignment horizontal="right"/>
    </xf>
    <xf numFmtId="38" fontId="10" fillId="3" borderId="18" xfId="0" applyNumberFormat="1" applyFont="1" applyFill="1" applyBorder="1" applyAlignment="1">
      <alignment horizontal="right"/>
    </xf>
    <xf numFmtId="38" fontId="10" fillId="26" borderId="18" xfId="0" applyNumberFormat="1" applyFont="1" applyFill="1" applyBorder="1" applyAlignment="1">
      <alignment horizontal="right"/>
    </xf>
    <xf numFmtId="10" fontId="10" fillId="3" borderId="18" xfId="0" applyNumberFormat="1" applyFont="1" applyFill="1" applyBorder="1" applyAlignment="1">
      <alignment horizontal="right"/>
    </xf>
    <xf numFmtId="0" fontId="41" fillId="0" borderId="79" xfId="0" applyFont="1" applyBorder="1" applyAlignment="1">
      <alignment horizontal="right" wrapText="1"/>
    </xf>
    <xf numFmtId="38" fontId="10" fillId="28" borderId="18" xfId="0" applyNumberFormat="1" applyFont="1" applyFill="1" applyBorder="1" applyAlignment="1">
      <alignment horizontal="right"/>
    </xf>
    <xf numFmtId="0" fontId="10" fillId="18" borderId="75" xfId="0" applyFont="1" applyFill="1" applyBorder="1" applyAlignment="1">
      <alignment horizontal="right"/>
    </xf>
    <xf numFmtId="38" fontId="10" fillId="0" borderId="18" xfId="0" applyNumberFormat="1" applyFont="1" applyBorder="1" applyAlignment="1">
      <alignment horizontal="right"/>
    </xf>
    <xf numFmtId="38" fontId="10" fillId="24" borderId="18" xfId="0" applyNumberFormat="1" applyFont="1" applyFill="1" applyBorder="1" applyAlignment="1">
      <alignment horizontal="right"/>
    </xf>
    <xf numFmtId="38" fontId="10" fillId="11" borderId="16" xfId="0" applyNumberFormat="1" applyFont="1" applyFill="1" applyBorder="1" applyAlignment="1">
      <alignment horizontal="right"/>
    </xf>
    <xf numFmtId="10" fontId="10" fillId="0" borderId="77" xfId="0" applyNumberFormat="1" applyFont="1" applyBorder="1" applyAlignment="1">
      <alignment horizontal="right"/>
    </xf>
    <xf numFmtId="0" fontId="10" fillId="17" borderId="77" xfId="0" applyFont="1" applyFill="1" applyBorder="1" applyAlignment="1">
      <alignment horizontal="right" wrapText="1"/>
    </xf>
    <xf numFmtId="38" fontId="10" fillId="11" borderId="18" xfId="0" applyNumberFormat="1" applyFont="1" applyFill="1" applyBorder="1" applyAlignment="1">
      <alignment horizontal="right"/>
    </xf>
    <xf numFmtId="38" fontId="10" fillId="11" borderId="2" xfId="0" applyNumberFormat="1" applyFont="1" applyFill="1" applyBorder="1" applyAlignment="1">
      <alignment horizontal="right"/>
    </xf>
    <xf numFmtId="9" fontId="10" fillId="11" borderId="2" xfId="0" applyNumberFormat="1" applyFont="1" applyFill="1" applyBorder="1" applyAlignment="1">
      <alignment horizontal="right"/>
    </xf>
    <xf numFmtId="0" fontId="10" fillId="0" borderId="77" xfId="0" applyFont="1" applyBorder="1" applyAlignment="1">
      <alignment horizontal="right" wrapText="1"/>
    </xf>
    <xf numFmtId="38" fontId="10" fillId="0" borderId="96" xfId="0" applyNumberFormat="1" applyFont="1" applyBorder="1" applyAlignment="1">
      <alignment horizontal="right" wrapText="1"/>
    </xf>
    <xf numFmtId="0" fontId="10" fillId="0" borderId="83" xfId="0" applyFont="1" applyBorder="1" applyAlignment="1">
      <alignment horizontal="right"/>
    </xf>
    <xf numFmtId="3" fontId="4" fillId="0" borderId="3" xfId="0" quotePrefix="1" applyNumberFormat="1" applyFont="1" applyBorder="1" applyAlignment="1">
      <alignment horizontal="right"/>
    </xf>
    <xf numFmtId="38" fontId="28" fillId="0" borderId="3" xfId="0" applyNumberFormat="1" applyFont="1" applyBorder="1" applyAlignment="1">
      <alignment horizontal="right"/>
    </xf>
    <xf numFmtId="38" fontId="28" fillId="24" borderId="3" xfId="0" applyNumberFormat="1" applyFont="1" applyFill="1" applyBorder="1" applyAlignment="1">
      <alignment horizontal="right"/>
    </xf>
    <xf numFmtId="10" fontId="10" fillId="0" borderId="87" xfId="0" applyNumberFormat="1" applyFont="1" applyBorder="1" applyAlignment="1">
      <alignment horizontal="right"/>
    </xf>
    <xf numFmtId="38" fontId="15" fillId="11" borderId="2" xfId="0" applyNumberFormat="1" applyFont="1" applyFill="1" applyBorder="1" applyAlignment="1">
      <alignment horizontal="right"/>
    </xf>
    <xf numFmtId="9" fontId="15" fillId="11" borderId="2" xfId="0" applyNumberFormat="1" applyFont="1" applyFill="1" applyBorder="1" applyAlignment="1">
      <alignment horizontal="right"/>
    </xf>
    <xf numFmtId="38" fontId="10" fillId="0" borderId="87" xfId="0" applyNumberFormat="1" applyFont="1" applyBorder="1" applyAlignment="1">
      <alignment horizontal="right" wrapText="1"/>
    </xf>
    <xf numFmtId="38" fontId="28" fillId="0" borderId="2" xfId="0" applyNumberFormat="1" applyFont="1" applyBorder="1" applyAlignment="1">
      <alignment horizontal="right"/>
    </xf>
    <xf numFmtId="0" fontId="10" fillId="0" borderId="123" xfId="0" applyFont="1" applyBorder="1" applyAlignment="1">
      <alignment horizontal="right" wrapText="1"/>
    </xf>
    <xf numFmtId="38" fontId="10" fillId="0" borderId="0" xfId="0" applyNumberFormat="1" applyFont="1" applyAlignment="1">
      <alignment horizontal="right" wrapText="1"/>
    </xf>
    <xf numFmtId="0" fontId="10" fillId="0" borderId="70" xfId="0" applyFont="1" applyBorder="1" applyAlignment="1">
      <alignment horizontal="right" vertical="top"/>
    </xf>
    <xf numFmtId="0" fontId="30" fillId="0" borderId="57" xfId="0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0" fillId="0" borderId="73" xfId="0" applyBorder="1" applyAlignment="1">
      <alignment horizontal="right" wrapText="1"/>
    </xf>
    <xf numFmtId="0" fontId="4" fillId="0" borderId="74" xfId="0" applyFont="1" applyBorder="1" applyAlignment="1">
      <alignment horizontal="right" vertical="top"/>
    </xf>
    <xf numFmtId="0" fontId="4" fillId="0" borderId="2" xfId="0" applyFont="1" applyBorder="1" applyAlignment="1">
      <alignment horizontal="right" wrapText="1"/>
    </xf>
    <xf numFmtId="3" fontId="15" fillId="0" borderId="6" xfId="0" applyNumberFormat="1" applyFont="1" applyBorder="1" applyAlignment="1">
      <alignment horizontal="right" wrapText="1"/>
    </xf>
    <xf numFmtId="3" fontId="15" fillId="24" borderId="6" xfId="0" applyNumberFormat="1" applyFont="1" applyFill="1" applyBorder="1" applyAlignment="1">
      <alignment horizontal="right" wrapText="1"/>
    </xf>
    <xf numFmtId="3" fontId="15" fillId="0" borderId="73" xfId="0" applyNumberFormat="1" applyFont="1" applyBorder="1" applyAlignment="1">
      <alignment horizontal="right" wrapText="1"/>
    </xf>
    <xf numFmtId="0" fontId="10" fillId="0" borderId="12" xfId="0" applyFont="1" applyBorder="1" applyAlignment="1">
      <alignment horizontal="right" wrapText="1"/>
    </xf>
    <xf numFmtId="3" fontId="15" fillId="25" borderId="7" xfId="0" applyNumberFormat="1" applyFont="1" applyFill="1" applyBorder="1" applyAlignment="1">
      <alignment horizontal="right" wrapText="1"/>
    </xf>
    <xf numFmtId="3" fontId="15" fillId="25" borderId="6" xfId="0" applyNumberFormat="1" applyFont="1" applyFill="1" applyBorder="1" applyAlignment="1">
      <alignment horizontal="right" wrapText="1"/>
    </xf>
    <xf numFmtId="0" fontId="15" fillId="0" borderId="73" xfId="0" applyFont="1" applyBorder="1" applyAlignment="1">
      <alignment horizontal="right" wrapText="1"/>
    </xf>
    <xf numFmtId="3" fontId="15" fillId="29" borderId="7" xfId="0" applyNumberFormat="1" applyFont="1" applyFill="1" applyBorder="1" applyAlignment="1">
      <alignment horizontal="right" wrapText="1"/>
    </xf>
    <xf numFmtId="0" fontId="10" fillId="0" borderId="80" xfId="0" applyFont="1" applyBorder="1" applyAlignment="1">
      <alignment horizontal="right" vertical="top"/>
    </xf>
    <xf numFmtId="0" fontId="4" fillId="0" borderId="17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0" fillId="24" borderId="6" xfId="0" applyFont="1" applyFill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73" xfId="0" applyFont="1" applyBorder="1" applyAlignment="1">
      <alignment horizontal="right"/>
    </xf>
    <xf numFmtId="37" fontId="10" fillId="0" borderId="6" xfId="0" applyNumberFormat="1" applyFont="1" applyBorder="1" applyAlignment="1">
      <alignment horizontal="right"/>
    </xf>
    <xf numFmtId="37" fontId="10" fillId="24" borderId="6" xfId="0" applyNumberFormat="1" applyFont="1" applyFill="1" applyBorder="1" applyAlignment="1">
      <alignment horizontal="right"/>
    </xf>
    <xf numFmtId="37" fontId="10" fillId="0" borderId="7" xfId="0" applyNumberFormat="1" applyFont="1" applyBorder="1" applyAlignment="1">
      <alignment horizontal="right"/>
    </xf>
    <xf numFmtId="37" fontId="10" fillId="11" borderId="7" xfId="0" applyNumberFormat="1" applyFont="1" applyFill="1" applyBorder="1" applyAlignment="1">
      <alignment horizontal="right"/>
    </xf>
    <xf numFmtId="37" fontId="10" fillId="11" borderId="6" xfId="0" applyNumberFormat="1" applyFont="1" applyFill="1" applyBorder="1" applyAlignment="1">
      <alignment horizontal="right"/>
    </xf>
    <xf numFmtId="37" fontId="11" fillId="11" borderId="6" xfId="0" applyNumberFormat="1" applyFont="1" applyFill="1" applyBorder="1" applyAlignment="1">
      <alignment horizontal="right"/>
    </xf>
    <xf numFmtId="37" fontId="11" fillId="24" borderId="6" xfId="0" applyNumberFormat="1" applyFont="1" applyFill="1" applyBorder="1" applyAlignment="1">
      <alignment horizontal="right"/>
    </xf>
    <xf numFmtId="37" fontId="11" fillId="11" borderId="7" xfId="0" applyNumberFormat="1" applyFont="1" applyFill="1" applyBorder="1" applyAlignment="1">
      <alignment horizontal="right"/>
    </xf>
    <xf numFmtId="37" fontId="0" fillId="0" borderId="0" xfId="0" applyNumberFormat="1" applyAlignment="1">
      <alignment horizontal="right"/>
    </xf>
    <xf numFmtId="37" fontId="10" fillId="0" borderId="73" xfId="0" applyNumberFormat="1" applyFont="1" applyBorder="1" applyAlignment="1">
      <alignment horizontal="right" wrapText="1"/>
    </xf>
    <xf numFmtId="37" fontId="10" fillId="0" borderId="9" xfId="0" applyNumberFormat="1" applyFont="1" applyBorder="1" applyAlignment="1">
      <alignment horizontal="right"/>
    </xf>
    <xf numFmtId="37" fontId="10" fillId="24" borderId="9" xfId="0" applyNumberFormat="1" applyFont="1" applyFill="1" applyBorder="1" applyAlignment="1">
      <alignment horizontal="right"/>
    </xf>
    <xf numFmtId="37" fontId="10" fillId="8" borderId="13" xfId="0" applyNumberFormat="1" applyFont="1" applyFill="1" applyBorder="1" applyAlignment="1">
      <alignment horizontal="right"/>
    </xf>
    <xf numFmtId="10" fontId="10" fillId="0" borderId="96" xfId="0" applyNumberFormat="1" applyFont="1" applyBorder="1" applyAlignment="1">
      <alignment horizontal="right"/>
    </xf>
    <xf numFmtId="0" fontId="10" fillId="17" borderId="25" xfId="0" applyFont="1" applyFill="1" applyBorder="1" applyAlignment="1">
      <alignment horizontal="right" wrapText="1"/>
    </xf>
    <xf numFmtId="37" fontId="10" fillId="11" borderId="13" xfId="0" applyNumberFormat="1" applyFont="1" applyFill="1" applyBorder="1" applyAlignment="1">
      <alignment horizontal="right"/>
    </xf>
    <xf numFmtId="38" fontId="10" fillId="11" borderId="9" xfId="0" applyNumberFormat="1" applyFont="1" applyFill="1" applyBorder="1" applyAlignment="1">
      <alignment horizontal="right"/>
    </xf>
    <xf numFmtId="10" fontId="10" fillId="11" borderId="13" xfId="0" applyNumberFormat="1" applyFont="1" applyFill="1" applyBorder="1" applyAlignment="1">
      <alignment horizontal="right"/>
    </xf>
    <xf numFmtId="0" fontId="10" fillId="0" borderId="96" xfId="0" applyFont="1" applyBorder="1" applyAlignment="1">
      <alignment horizontal="right" wrapText="1"/>
    </xf>
    <xf numFmtId="0" fontId="10" fillId="0" borderId="56" xfId="0" applyFont="1" applyBorder="1" applyAlignment="1">
      <alignment horizontal="right"/>
    </xf>
    <xf numFmtId="3" fontId="4" fillId="0" borderId="21" xfId="0" quotePrefix="1" applyNumberFormat="1" applyFont="1" applyBorder="1" applyAlignment="1">
      <alignment horizontal="right"/>
    </xf>
    <xf numFmtId="38" fontId="15" fillId="0" borderId="20" xfId="0" applyNumberFormat="1" applyFont="1" applyBorder="1" applyAlignment="1">
      <alignment horizontal="right"/>
    </xf>
    <xf numFmtId="38" fontId="15" fillId="24" borderId="20" xfId="0" applyNumberFormat="1" applyFont="1" applyFill="1" applyBorder="1" applyAlignment="1">
      <alignment horizontal="right"/>
    </xf>
    <xf numFmtId="10" fontId="10" fillId="0" borderId="155" xfId="0" applyNumberFormat="1" applyFont="1" applyBorder="1" applyAlignment="1">
      <alignment horizontal="right"/>
    </xf>
    <xf numFmtId="0" fontId="10" fillId="0" borderId="174" xfId="0" applyFont="1" applyBorder="1" applyAlignment="1">
      <alignment horizontal="right" wrapText="1"/>
    </xf>
    <xf numFmtId="38" fontId="15" fillId="11" borderId="21" xfId="0" applyNumberFormat="1" applyFont="1" applyFill="1" applyBorder="1" applyAlignment="1">
      <alignment horizontal="right"/>
    </xf>
    <xf numFmtId="38" fontId="10" fillId="11" borderId="20" xfId="0" applyNumberFormat="1" applyFont="1" applyFill="1" applyBorder="1" applyAlignment="1">
      <alignment horizontal="right"/>
    </xf>
    <xf numFmtId="9" fontId="10" fillId="11" borderId="21" xfId="0" applyNumberFormat="1" applyFont="1" applyFill="1" applyBorder="1" applyAlignment="1">
      <alignment horizontal="right"/>
    </xf>
    <xf numFmtId="38" fontId="10" fillId="0" borderId="155" xfId="0" applyNumberFormat="1" applyFont="1" applyBorder="1" applyAlignment="1">
      <alignment horizontal="right" wrapText="1"/>
    </xf>
    <xf numFmtId="0" fontId="10" fillId="0" borderId="70" xfId="0" applyFont="1" applyBorder="1" applyAlignment="1">
      <alignment horizontal="right"/>
    </xf>
    <xf numFmtId="0" fontId="30" fillId="0" borderId="71" xfId="0" applyFont="1" applyBorder="1" applyAlignment="1">
      <alignment horizontal="right"/>
    </xf>
    <xf numFmtId="3" fontId="10" fillId="0" borderId="57" xfId="0" applyNumberFormat="1" applyFont="1" applyBorder="1" applyAlignment="1">
      <alignment horizontal="right" vertical="center"/>
    </xf>
    <xf numFmtId="3" fontId="10" fillId="0" borderId="72" xfId="0" applyNumberFormat="1" applyFont="1" applyBorder="1" applyAlignment="1">
      <alignment horizontal="right" vertical="center"/>
    </xf>
    <xf numFmtId="0" fontId="15" fillId="0" borderId="152" xfId="0" applyFont="1" applyBorder="1" applyAlignment="1">
      <alignment horizontal="right"/>
    </xf>
    <xf numFmtId="3" fontId="10" fillId="0" borderId="71" xfId="0" applyNumberFormat="1" applyFont="1" applyBorder="1" applyAlignment="1">
      <alignment horizontal="right" vertical="center"/>
    </xf>
    <xf numFmtId="0" fontId="0" fillId="0" borderId="17" xfId="0" applyBorder="1" applyAlignment="1">
      <alignment horizontal="right"/>
    </xf>
    <xf numFmtId="0" fontId="10" fillId="0" borderId="72" xfId="0" applyFont="1" applyBorder="1" applyAlignment="1">
      <alignment horizontal="right"/>
    </xf>
    <xf numFmtId="3" fontId="15" fillId="23" borderId="13" xfId="0" applyNumberFormat="1" applyFont="1" applyFill="1" applyBorder="1" applyAlignment="1">
      <alignment horizontal="right" wrapText="1"/>
    </xf>
    <xf numFmtId="3" fontId="15" fillId="0" borderId="96" xfId="0" applyNumberFormat="1" applyFont="1" applyBorder="1" applyAlignment="1">
      <alignment horizontal="right" wrapText="1"/>
    </xf>
    <xf numFmtId="3" fontId="15" fillId="24" borderId="9" xfId="0" applyNumberFormat="1" applyFont="1" applyFill="1" applyBorder="1" applyAlignment="1">
      <alignment horizontal="right" wrapText="1"/>
    </xf>
    <xf numFmtId="3" fontId="15" fillId="0" borderId="13" xfId="0" applyNumberFormat="1" applyFont="1" applyBorder="1" applyAlignment="1">
      <alignment horizontal="right" wrapText="1"/>
    </xf>
    <xf numFmtId="3" fontId="15" fillId="0" borderId="88" xfId="0" applyNumberFormat="1" applyFont="1" applyBorder="1" applyAlignment="1">
      <alignment horizontal="right" wrapText="1"/>
    </xf>
    <xf numFmtId="3" fontId="15" fillId="25" borderId="96" xfId="0" applyNumberFormat="1" applyFont="1" applyFill="1" applyBorder="1" applyAlignment="1">
      <alignment horizontal="right" wrapText="1"/>
    </xf>
    <xf numFmtId="3" fontId="15" fillId="25" borderId="27" xfId="0" applyNumberFormat="1" applyFont="1" applyFill="1" applyBorder="1" applyAlignment="1">
      <alignment horizontal="right" wrapText="1"/>
    </xf>
    <xf numFmtId="3" fontId="15" fillId="25" borderId="9" xfId="0" applyNumberFormat="1" applyFont="1" applyFill="1" applyBorder="1" applyAlignment="1">
      <alignment horizontal="right" wrapText="1"/>
    </xf>
    <xf numFmtId="0" fontId="15" fillId="0" borderId="13" xfId="0" applyFont="1" applyBorder="1" applyAlignment="1">
      <alignment horizontal="right"/>
    </xf>
    <xf numFmtId="3" fontId="15" fillId="29" borderId="9" xfId="0" applyNumberFormat="1" applyFont="1" applyFill="1" applyBorder="1" applyAlignment="1">
      <alignment horizontal="right" wrapText="1"/>
    </xf>
    <xf numFmtId="0" fontId="25" fillId="0" borderId="142" xfId="0" applyFont="1" applyBorder="1" applyAlignment="1">
      <alignment horizontal="right"/>
    </xf>
    <xf numFmtId="0" fontId="38" fillId="14" borderId="134" xfId="0" applyFont="1" applyFill="1" applyBorder="1" applyAlignment="1">
      <alignment horizontal="right"/>
    </xf>
    <xf numFmtId="0" fontId="10" fillId="15" borderId="134" xfId="0" applyFont="1" applyFill="1" applyBorder="1" applyAlignment="1">
      <alignment horizontal="right"/>
    </xf>
    <xf numFmtId="0" fontId="10" fillId="15" borderId="148" xfId="0" applyFont="1" applyFill="1" applyBorder="1" applyAlignment="1">
      <alignment horizontal="right"/>
    </xf>
    <xf numFmtId="0" fontId="10" fillId="15" borderId="174" xfId="0" applyFont="1" applyFill="1" applyBorder="1" applyAlignment="1">
      <alignment horizontal="right"/>
    </xf>
    <xf numFmtId="0" fontId="0" fillId="15" borderId="21" xfId="0" applyFill="1" applyBorder="1" applyAlignment="1">
      <alignment horizontal="right"/>
    </xf>
    <xf numFmtId="0" fontId="10" fillId="15" borderId="155" xfId="0" applyFont="1" applyFill="1" applyBorder="1" applyAlignment="1">
      <alignment horizontal="right"/>
    </xf>
    <xf numFmtId="0" fontId="25" fillId="0" borderId="75" xfId="0" applyFont="1" applyBorder="1" applyAlignment="1">
      <alignment horizontal="right"/>
    </xf>
    <xf numFmtId="5" fontId="10" fillId="0" borderId="4" xfId="0" applyNumberFormat="1" applyFont="1" applyBorder="1" applyAlignment="1">
      <alignment horizontal="right"/>
    </xf>
    <xf numFmtId="5" fontId="10" fillId="0" borderId="86" xfId="0" applyNumberFormat="1" applyFont="1" applyBorder="1" applyAlignment="1">
      <alignment horizontal="right"/>
    </xf>
    <xf numFmtId="5" fontId="10" fillId="24" borderId="4" xfId="0" applyNumberFormat="1" applyFont="1" applyFill="1" applyBorder="1" applyAlignment="1">
      <alignment horizontal="right"/>
    </xf>
    <xf numFmtId="5" fontId="10" fillId="0" borderId="8" xfId="0" applyNumberFormat="1" applyFont="1" applyBorder="1" applyAlignment="1">
      <alignment horizontal="right"/>
    </xf>
    <xf numFmtId="5" fontId="10" fillId="0" borderId="26" xfId="0" applyNumberFormat="1" applyFont="1" applyBorder="1" applyAlignment="1">
      <alignment horizontal="right"/>
    </xf>
    <xf numFmtId="5" fontId="10" fillId="0" borderId="5" xfId="0" applyNumberFormat="1" applyFont="1" applyBorder="1" applyAlignment="1">
      <alignment horizontal="right"/>
    </xf>
    <xf numFmtId="9" fontId="10" fillId="0" borderId="4" xfId="0" applyNumberFormat="1" applyFont="1" applyBorder="1" applyAlignment="1">
      <alignment horizontal="right"/>
    </xf>
    <xf numFmtId="0" fontId="0" fillId="0" borderId="8" xfId="0" applyBorder="1" applyAlignment="1">
      <alignment horizontal="right"/>
    </xf>
    <xf numFmtId="0" fontId="41" fillId="0" borderId="86" xfId="0" applyFont="1" applyBorder="1" applyAlignment="1">
      <alignment horizontal="right" wrapText="1"/>
    </xf>
    <xf numFmtId="0" fontId="25" fillId="0" borderId="74" xfId="0" applyFont="1" applyBorder="1" applyAlignment="1">
      <alignment horizontal="right"/>
    </xf>
    <xf numFmtId="5" fontId="10" fillId="0" borderId="6" xfId="0" applyNumberFormat="1" applyFont="1" applyBorder="1" applyAlignment="1">
      <alignment horizontal="right"/>
    </xf>
    <xf numFmtId="5" fontId="10" fillId="0" borderId="73" xfId="0" applyNumberFormat="1" applyFont="1" applyBorder="1" applyAlignment="1">
      <alignment horizontal="right"/>
    </xf>
    <xf numFmtId="5" fontId="10" fillId="24" borderId="6" xfId="0" applyNumberFormat="1" applyFont="1" applyFill="1" applyBorder="1" applyAlignment="1">
      <alignment horizontal="right"/>
    </xf>
    <xf numFmtId="5" fontId="10" fillId="0" borderId="7" xfId="0" applyNumberFormat="1" applyFont="1" applyBorder="1" applyAlignment="1">
      <alignment horizontal="right"/>
    </xf>
    <xf numFmtId="5" fontId="10" fillId="0" borderId="12" xfId="0" applyNumberFormat="1" applyFont="1" applyBorder="1" applyAlignment="1">
      <alignment horizontal="right"/>
    </xf>
    <xf numFmtId="10" fontId="10" fillId="0" borderId="98" xfId="0" applyNumberFormat="1" applyFont="1" applyBorder="1" applyAlignment="1">
      <alignment horizontal="right"/>
    </xf>
    <xf numFmtId="0" fontId="10" fillId="0" borderId="98" xfId="0" applyFont="1" applyBorder="1" applyAlignment="1">
      <alignment horizontal="right"/>
    </xf>
    <xf numFmtId="5" fontId="10" fillId="0" borderId="11" xfId="0" applyNumberFormat="1" applyFont="1" applyBorder="1" applyAlignment="1">
      <alignment horizontal="right"/>
    </xf>
    <xf numFmtId="0" fontId="10" fillId="0" borderId="98" xfId="0" applyFont="1" applyBorder="1" applyAlignment="1">
      <alignment horizontal="right" wrapText="1"/>
    </xf>
    <xf numFmtId="5" fontId="0" fillId="0" borderId="0" xfId="0" applyNumberFormat="1" applyAlignment="1">
      <alignment horizontal="right"/>
    </xf>
    <xf numFmtId="5" fontId="10" fillId="8" borderId="73" xfId="0" applyNumberFormat="1" applyFont="1" applyFill="1" applyBorder="1" applyAlignment="1">
      <alignment horizontal="right"/>
    </xf>
    <xf numFmtId="5" fontId="15" fillId="24" borderId="6" xfId="0" applyNumberFormat="1" applyFont="1" applyFill="1" applyBorder="1" applyAlignment="1">
      <alignment horizontal="right"/>
    </xf>
    <xf numFmtId="5" fontId="10" fillId="8" borderId="12" xfId="0" applyNumberFormat="1" applyFont="1" applyFill="1" applyBorder="1" applyAlignment="1">
      <alignment horizontal="right"/>
    </xf>
    <xf numFmtId="5" fontId="15" fillId="11" borderId="73" xfId="0" applyNumberFormat="1" applyFont="1" applyFill="1" applyBorder="1" applyAlignment="1">
      <alignment horizontal="right"/>
    </xf>
    <xf numFmtId="5" fontId="15" fillId="11" borderId="11" xfId="0" applyNumberFormat="1" applyFont="1" applyFill="1" applyBorder="1" applyAlignment="1">
      <alignment horizontal="right"/>
    </xf>
    <xf numFmtId="9" fontId="15" fillId="11" borderId="6" xfId="0" applyNumberFormat="1" applyFont="1" applyFill="1" applyBorder="1" applyAlignment="1">
      <alignment horizontal="right"/>
    </xf>
    <xf numFmtId="5" fontId="15" fillId="11" borderId="6" xfId="0" applyNumberFormat="1" applyFont="1" applyFill="1" applyBorder="1" applyAlignment="1">
      <alignment horizontal="right"/>
    </xf>
    <xf numFmtId="5" fontId="10" fillId="8" borderId="6" xfId="0" applyNumberFormat="1" applyFont="1" applyFill="1" applyBorder="1" applyAlignment="1">
      <alignment horizontal="right"/>
    </xf>
    <xf numFmtId="5" fontId="10" fillId="8" borderId="7" xfId="0" applyNumberFormat="1" applyFont="1" applyFill="1" applyBorder="1" applyAlignment="1">
      <alignment horizontal="right"/>
    </xf>
    <xf numFmtId="10" fontId="10" fillId="8" borderId="98" xfId="0" applyNumberFormat="1" applyFont="1" applyFill="1" applyBorder="1" applyAlignment="1">
      <alignment horizontal="right"/>
    </xf>
    <xf numFmtId="5" fontId="10" fillId="8" borderId="11" xfId="0" applyNumberFormat="1" applyFont="1" applyFill="1" applyBorder="1" applyAlignment="1">
      <alignment horizontal="right"/>
    </xf>
    <xf numFmtId="0" fontId="13" fillId="16" borderId="7" xfId="0" applyFont="1" applyFill="1" applyBorder="1" applyAlignment="1">
      <alignment horizontal="right"/>
    </xf>
    <xf numFmtId="5" fontId="14" fillId="15" borderId="0" xfId="0" applyNumberFormat="1" applyFont="1" applyFill="1" applyAlignment="1">
      <alignment horizontal="right"/>
    </xf>
    <xf numFmtId="5" fontId="14" fillId="15" borderId="79" xfId="0" applyNumberFormat="1" applyFont="1" applyFill="1" applyBorder="1" applyAlignment="1">
      <alignment horizontal="right"/>
    </xf>
    <xf numFmtId="5" fontId="14" fillId="15" borderId="22" xfId="0" applyNumberFormat="1" applyFont="1" applyFill="1" applyBorder="1" applyAlignment="1">
      <alignment horizontal="right"/>
    </xf>
    <xf numFmtId="10" fontId="14" fillId="15" borderId="79" xfId="0" applyNumberFormat="1" applyFont="1" applyFill="1" applyBorder="1" applyAlignment="1">
      <alignment horizontal="right"/>
    </xf>
    <xf numFmtId="0" fontId="10" fillId="15" borderId="98" xfId="0" applyFont="1" applyFill="1" applyBorder="1" applyAlignment="1">
      <alignment horizontal="right"/>
    </xf>
    <xf numFmtId="5" fontId="12" fillId="15" borderId="11" xfId="0" applyNumberFormat="1" applyFont="1" applyFill="1" applyBorder="1" applyAlignment="1">
      <alignment horizontal="right"/>
    </xf>
    <xf numFmtId="9" fontId="12" fillId="15" borderId="6" xfId="0" applyNumberFormat="1" applyFont="1" applyFill="1" applyBorder="1" applyAlignment="1">
      <alignment horizontal="right"/>
    </xf>
    <xf numFmtId="0" fontId="25" fillId="0" borderId="60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5" fontId="10" fillId="0" borderId="98" xfId="0" applyNumberFormat="1" applyFont="1" applyBorder="1" applyAlignment="1">
      <alignment horizontal="right"/>
    </xf>
    <xf numFmtId="0" fontId="38" fillId="14" borderId="7" xfId="0" applyFont="1" applyFill="1" applyBorder="1" applyAlignment="1">
      <alignment horizontal="right"/>
    </xf>
    <xf numFmtId="5" fontId="10" fillId="15" borderId="6" xfId="0" applyNumberFormat="1" applyFont="1" applyFill="1" applyBorder="1" applyAlignment="1">
      <alignment horizontal="right"/>
    </xf>
    <xf numFmtId="5" fontId="10" fillId="15" borderId="73" xfId="0" applyNumberFormat="1" applyFont="1" applyFill="1" applyBorder="1" applyAlignment="1">
      <alignment horizontal="right"/>
    </xf>
    <xf numFmtId="5" fontId="10" fillId="15" borderId="7" xfId="0" applyNumberFormat="1" applyFont="1" applyFill="1" applyBorder="1" applyAlignment="1">
      <alignment horizontal="right"/>
    </xf>
    <xf numFmtId="5" fontId="10" fillId="15" borderId="12" xfId="0" applyNumberFormat="1" applyFont="1" applyFill="1" applyBorder="1" applyAlignment="1">
      <alignment horizontal="right"/>
    </xf>
    <xf numFmtId="10" fontId="10" fillId="15" borderId="98" xfId="0" applyNumberFormat="1" applyFont="1" applyFill="1" applyBorder="1" applyAlignment="1">
      <alignment horizontal="right"/>
    </xf>
    <xf numFmtId="5" fontId="10" fillId="15" borderId="11" xfId="0" applyNumberFormat="1" applyFont="1" applyFill="1" applyBorder="1" applyAlignment="1">
      <alignment horizontal="right"/>
    </xf>
    <xf numFmtId="0" fontId="26" fillId="5" borderId="7" xfId="0" applyFont="1" applyFill="1" applyBorder="1" applyAlignment="1">
      <alignment horizontal="right"/>
    </xf>
    <xf numFmtId="5" fontId="10" fillId="9" borderId="6" xfId="0" applyNumberFormat="1" applyFont="1" applyFill="1" applyBorder="1" applyAlignment="1">
      <alignment horizontal="right"/>
    </xf>
    <xf numFmtId="5" fontId="10" fillId="9" borderId="73" xfId="0" applyNumberFormat="1" applyFont="1" applyFill="1" applyBorder="1" applyAlignment="1">
      <alignment horizontal="right"/>
    </xf>
    <xf numFmtId="5" fontId="10" fillId="9" borderId="7" xfId="0" applyNumberFormat="1" applyFont="1" applyFill="1" applyBorder="1" applyAlignment="1">
      <alignment horizontal="right"/>
    </xf>
    <xf numFmtId="5" fontId="10" fillId="9" borderId="12" xfId="0" applyNumberFormat="1" applyFont="1" applyFill="1" applyBorder="1" applyAlignment="1">
      <alignment horizontal="right"/>
    </xf>
    <xf numFmtId="10" fontId="10" fillId="9" borderId="98" xfId="0" applyNumberFormat="1" applyFont="1" applyFill="1" applyBorder="1" applyAlignment="1">
      <alignment horizontal="right"/>
    </xf>
    <xf numFmtId="5" fontId="10" fillId="9" borderId="11" xfId="0" applyNumberFormat="1" applyFont="1" applyFill="1" applyBorder="1" applyAlignment="1">
      <alignment horizontal="right"/>
    </xf>
    <xf numFmtId="5" fontId="10" fillId="11" borderId="6" xfId="0" applyNumberFormat="1" applyFont="1" applyFill="1" applyBorder="1" applyAlignment="1">
      <alignment horizontal="right"/>
    </xf>
    <xf numFmtId="7" fontId="0" fillId="0" borderId="0" xfId="0" applyNumberFormat="1" applyAlignment="1">
      <alignment horizontal="right"/>
    </xf>
    <xf numFmtId="5" fontId="10" fillId="11" borderId="73" xfId="0" applyNumberFormat="1" applyFont="1" applyFill="1" applyBorder="1" applyAlignment="1">
      <alignment horizontal="right"/>
    </xf>
    <xf numFmtId="5" fontId="10" fillId="11" borderId="11" xfId="0" applyNumberFormat="1" applyFont="1" applyFill="1" applyBorder="1" applyAlignment="1">
      <alignment horizontal="right"/>
    </xf>
    <xf numFmtId="5" fontId="10" fillId="0" borderId="77" xfId="0" applyNumberFormat="1" applyFont="1" applyBorder="1" applyAlignment="1">
      <alignment horizontal="right"/>
    </xf>
    <xf numFmtId="5" fontId="10" fillId="24" borderId="16" xfId="0" applyNumberFormat="1" applyFont="1" applyFill="1" applyBorder="1" applyAlignment="1">
      <alignment horizontal="right"/>
    </xf>
    <xf numFmtId="5" fontId="10" fillId="0" borderId="16" xfId="0" applyNumberFormat="1" applyFont="1" applyBorder="1" applyAlignment="1">
      <alignment horizontal="right"/>
    </xf>
    <xf numFmtId="5" fontId="10" fillId="0" borderId="18" xfId="0" applyNumberFormat="1" applyFont="1" applyBorder="1" applyAlignment="1">
      <alignment horizontal="right"/>
    </xf>
    <xf numFmtId="10" fontId="10" fillId="0" borderId="89" xfId="0" applyNumberFormat="1" applyFont="1" applyBorder="1" applyAlignment="1">
      <alignment horizontal="right"/>
    </xf>
    <xf numFmtId="0" fontId="10" fillId="0" borderId="89" xfId="0" applyFont="1" applyBorder="1" applyAlignment="1">
      <alignment horizontal="right"/>
    </xf>
    <xf numFmtId="5" fontId="10" fillId="11" borderId="77" xfId="0" applyNumberFormat="1" applyFont="1" applyFill="1" applyBorder="1" applyAlignment="1">
      <alignment horizontal="right"/>
    </xf>
    <xf numFmtId="5" fontId="10" fillId="11" borderId="135" xfId="0" applyNumberFormat="1" applyFont="1" applyFill="1" applyBorder="1" applyAlignment="1">
      <alignment horizontal="right"/>
    </xf>
    <xf numFmtId="5" fontId="10" fillId="11" borderId="16" xfId="0" applyNumberFormat="1" applyFont="1" applyFill="1" applyBorder="1" applyAlignment="1">
      <alignment horizontal="right"/>
    </xf>
    <xf numFmtId="5" fontId="15" fillId="11" borderId="86" xfId="0" applyNumberFormat="1" applyFont="1" applyFill="1" applyBorder="1" applyAlignment="1">
      <alignment horizontal="right"/>
    </xf>
    <xf numFmtId="5" fontId="15" fillId="24" borderId="4" xfId="0" applyNumberFormat="1" applyFont="1" applyFill="1" applyBorder="1" applyAlignment="1">
      <alignment horizontal="right"/>
    </xf>
    <xf numFmtId="5" fontId="15" fillId="11" borderId="4" xfId="0" applyNumberFormat="1" applyFont="1" applyFill="1" applyBorder="1" applyAlignment="1">
      <alignment horizontal="right"/>
    </xf>
    <xf numFmtId="5" fontId="15" fillId="11" borderId="8" xfId="0" applyNumberFormat="1" applyFont="1" applyFill="1" applyBorder="1" applyAlignment="1">
      <alignment horizontal="right"/>
    </xf>
    <xf numFmtId="5" fontId="10" fillId="11" borderId="5" xfId="0" applyNumberFormat="1" applyFont="1" applyFill="1" applyBorder="1" applyAlignment="1">
      <alignment horizontal="right"/>
    </xf>
    <xf numFmtId="9" fontId="10" fillId="11" borderId="4" xfId="0" applyNumberFormat="1" applyFont="1" applyFill="1" applyBorder="1" applyAlignment="1">
      <alignment horizontal="right"/>
    </xf>
    <xf numFmtId="0" fontId="28" fillId="0" borderId="11" xfId="0" applyFont="1" applyBorder="1" applyAlignment="1">
      <alignment horizontal="right"/>
    </xf>
    <xf numFmtId="5" fontId="15" fillId="24" borderId="11" xfId="0" applyNumberFormat="1" applyFont="1" applyFill="1" applyBorder="1" applyAlignment="1">
      <alignment horizontal="right"/>
    </xf>
    <xf numFmtId="5" fontId="15" fillId="11" borderId="7" xfId="0" applyNumberFormat="1" applyFont="1" applyFill="1" applyBorder="1" applyAlignment="1">
      <alignment horizontal="right"/>
    </xf>
    <xf numFmtId="10" fontId="15" fillId="11" borderId="98" xfId="0" applyNumberFormat="1" applyFont="1" applyFill="1" applyBorder="1" applyAlignment="1">
      <alignment horizontal="right"/>
    </xf>
    <xf numFmtId="5" fontId="15" fillId="11" borderId="98" xfId="0" applyNumberFormat="1" applyFont="1" applyFill="1" applyBorder="1" applyAlignment="1">
      <alignment horizontal="right"/>
    </xf>
    <xf numFmtId="0" fontId="41" fillId="0" borderId="73" xfId="0" applyFont="1" applyBorder="1" applyAlignment="1">
      <alignment horizontal="right"/>
    </xf>
    <xf numFmtId="5" fontId="10" fillId="11" borderId="28" xfId="0" applyNumberFormat="1" applyFont="1" applyFill="1" applyBorder="1" applyAlignment="1">
      <alignment horizontal="right"/>
    </xf>
    <xf numFmtId="0" fontId="28" fillId="0" borderId="0" xfId="0" applyFont="1" applyAlignment="1">
      <alignment horizontal="right" wrapText="1"/>
    </xf>
    <xf numFmtId="5" fontId="15" fillId="0" borderId="4" xfId="0" applyNumberFormat="1" applyFont="1" applyBorder="1" applyAlignment="1">
      <alignment horizontal="right"/>
    </xf>
    <xf numFmtId="5" fontId="15" fillId="0" borderId="87" xfId="0" applyNumberFormat="1" applyFont="1" applyBorder="1" applyAlignment="1">
      <alignment horizontal="right"/>
    </xf>
    <xf numFmtId="5" fontId="15" fillId="24" borderId="2" xfId="0" applyNumberFormat="1" applyFont="1" applyFill="1" applyBorder="1" applyAlignment="1">
      <alignment horizontal="right"/>
    </xf>
    <xf numFmtId="5" fontId="15" fillId="0" borderId="2" xfId="0" applyNumberFormat="1" applyFont="1" applyBorder="1" applyAlignment="1">
      <alignment horizontal="right"/>
    </xf>
    <xf numFmtId="5" fontId="15" fillId="0" borderId="3" xfId="0" applyNumberFormat="1" applyFont="1" applyBorder="1" applyAlignment="1">
      <alignment horizontal="right"/>
    </xf>
    <xf numFmtId="0" fontId="10" fillId="0" borderId="82" xfId="0" applyFont="1" applyBorder="1" applyAlignment="1">
      <alignment horizontal="right"/>
    </xf>
    <xf numFmtId="5" fontId="15" fillId="11" borderId="87" xfId="0" applyNumberFormat="1" applyFont="1" applyFill="1" applyBorder="1" applyAlignment="1">
      <alignment horizontal="right"/>
    </xf>
    <xf numFmtId="5" fontId="15" fillId="11" borderId="28" xfId="0" applyNumberFormat="1" applyFont="1" applyFill="1" applyBorder="1" applyAlignment="1">
      <alignment horizontal="right"/>
    </xf>
    <xf numFmtId="9" fontId="10" fillId="11" borderId="3" xfId="0" applyNumberFormat="1" applyFont="1" applyFill="1" applyBorder="1" applyAlignment="1">
      <alignment horizontal="right"/>
    </xf>
    <xf numFmtId="5" fontId="15" fillId="11" borderId="2" xfId="0" applyNumberFormat="1" applyFont="1" applyFill="1" applyBorder="1" applyAlignment="1">
      <alignment horizontal="right"/>
    </xf>
    <xf numFmtId="0" fontId="28" fillId="0" borderId="7" xfId="0" applyFont="1" applyBorder="1" applyAlignment="1">
      <alignment horizontal="right"/>
    </xf>
    <xf numFmtId="5" fontId="15" fillId="0" borderId="6" xfId="0" applyNumberFormat="1" applyFont="1" applyBorder="1" applyAlignment="1">
      <alignment horizontal="right"/>
    </xf>
    <xf numFmtId="5" fontId="15" fillId="0" borderId="8" xfId="0" applyNumberFormat="1" applyFont="1" applyBorder="1" applyAlignment="1">
      <alignment horizontal="right"/>
    </xf>
    <xf numFmtId="5" fontId="15" fillId="11" borderId="5" xfId="0" applyNumberFormat="1" applyFont="1" applyFill="1" applyBorder="1" applyAlignment="1">
      <alignment horizontal="right"/>
    </xf>
    <xf numFmtId="5" fontId="10" fillId="11" borderId="7" xfId="0" applyNumberFormat="1" applyFont="1" applyFill="1" applyBorder="1" applyAlignment="1">
      <alignment horizontal="right"/>
    </xf>
    <xf numFmtId="10" fontId="10" fillId="11" borderId="98" xfId="0" applyNumberFormat="1" applyFont="1" applyFill="1" applyBorder="1" applyAlignment="1">
      <alignment horizontal="right"/>
    </xf>
    <xf numFmtId="0" fontId="10" fillId="17" borderId="98" xfId="0" applyFont="1" applyFill="1" applyBorder="1" applyAlignment="1">
      <alignment horizontal="right"/>
    </xf>
    <xf numFmtId="0" fontId="0" fillId="17" borderId="0" xfId="0" applyFill="1" applyAlignment="1">
      <alignment horizontal="right"/>
    </xf>
    <xf numFmtId="6" fontId="10" fillId="11" borderId="5" xfId="0" applyNumberFormat="1" applyFont="1" applyFill="1" applyBorder="1" applyAlignment="1">
      <alignment horizontal="right"/>
    </xf>
    <xf numFmtId="5" fontId="15" fillId="0" borderId="73" xfId="0" applyNumberFormat="1" applyFont="1" applyBorder="1" applyAlignment="1">
      <alignment horizontal="right"/>
    </xf>
    <xf numFmtId="5" fontId="15" fillId="0" borderId="7" xfId="0" applyNumberFormat="1" applyFont="1" applyBorder="1" applyAlignment="1">
      <alignment horizontal="right"/>
    </xf>
    <xf numFmtId="6" fontId="15" fillId="11" borderId="5" xfId="0" applyNumberFormat="1" applyFont="1" applyFill="1" applyBorder="1" applyAlignment="1">
      <alignment horizontal="right"/>
    </xf>
    <xf numFmtId="5" fontId="10" fillId="19" borderId="6" xfId="0" applyNumberFormat="1" applyFont="1" applyFill="1" applyBorder="1" applyAlignment="1">
      <alignment horizontal="right"/>
    </xf>
    <xf numFmtId="5" fontId="10" fillId="19" borderId="73" xfId="0" applyNumberFormat="1" applyFont="1" applyFill="1" applyBorder="1" applyAlignment="1">
      <alignment horizontal="right"/>
    </xf>
    <xf numFmtId="10" fontId="10" fillId="19" borderId="98" xfId="0" applyNumberFormat="1" applyFont="1" applyFill="1" applyBorder="1" applyAlignment="1">
      <alignment horizontal="right"/>
    </xf>
    <xf numFmtId="0" fontId="37" fillId="0" borderId="98" xfId="0" applyFont="1" applyBorder="1" applyAlignment="1">
      <alignment horizontal="right"/>
    </xf>
    <xf numFmtId="0" fontId="36" fillId="0" borderId="0" xfId="0" applyFont="1" applyAlignment="1">
      <alignment horizontal="right"/>
    </xf>
    <xf numFmtId="5" fontId="10" fillId="19" borderId="11" xfId="0" applyNumberFormat="1" applyFont="1" applyFill="1" applyBorder="1" applyAlignment="1">
      <alignment horizontal="right"/>
    </xf>
    <xf numFmtId="0" fontId="37" fillId="0" borderId="7" xfId="0" applyFont="1" applyBorder="1" applyAlignment="1">
      <alignment horizontal="right"/>
    </xf>
    <xf numFmtId="0" fontId="37" fillId="0" borderId="73" xfId="0" applyFont="1" applyBorder="1" applyAlignment="1">
      <alignment horizontal="right"/>
    </xf>
    <xf numFmtId="0" fontId="14" fillId="6" borderId="7" xfId="0" applyFont="1" applyFill="1" applyBorder="1" applyAlignment="1">
      <alignment horizontal="right"/>
    </xf>
    <xf numFmtId="0" fontId="10" fillId="11" borderId="98" xfId="0" applyFont="1" applyFill="1" applyBorder="1" applyAlignment="1">
      <alignment horizontal="right"/>
    </xf>
    <xf numFmtId="0" fontId="0" fillId="11" borderId="0" xfId="0" applyFill="1" applyAlignment="1">
      <alignment horizontal="right"/>
    </xf>
    <xf numFmtId="0" fontId="41" fillId="0" borderId="73" xfId="0" applyFont="1" applyBorder="1" applyAlignment="1">
      <alignment horizontal="right" wrapText="1"/>
    </xf>
    <xf numFmtId="6" fontId="10" fillId="11" borderId="26" xfId="0" applyNumberFormat="1" applyFont="1" applyFill="1" applyBorder="1" applyAlignment="1">
      <alignment horizontal="right"/>
    </xf>
    <xf numFmtId="5" fontId="10" fillId="11" borderId="18" xfId="0" applyNumberFormat="1" applyFont="1" applyFill="1" applyBorder="1" applyAlignment="1">
      <alignment horizontal="right"/>
    </xf>
    <xf numFmtId="10" fontId="10" fillId="11" borderId="89" xfId="0" applyNumberFormat="1" applyFont="1" applyFill="1" applyBorder="1" applyAlignment="1">
      <alignment horizontal="right"/>
    </xf>
    <xf numFmtId="0" fontId="10" fillId="11" borderId="89" xfId="0" applyFont="1" applyFill="1" applyBorder="1" applyAlignment="1">
      <alignment horizontal="right"/>
    </xf>
    <xf numFmtId="0" fontId="0" fillId="11" borderId="28" xfId="0" applyFill="1" applyBorder="1" applyAlignment="1">
      <alignment horizontal="right"/>
    </xf>
    <xf numFmtId="6" fontId="10" fillId="11" borderId="19" xfId="0" applyNumberFormat="1" applyFont="1" applyFill="1" applyBorder="1" applyAlignment="1">
      <alignment horizontal="right"/>
    </xf>
    <xf numFmtId="0" fontId="28" fillId="0" borderId="8" xfId="0" applyFont="1" applyBorder="1" applyAlignment="1">
      <alignment horizontal="right"/>
    </xf>
    <xf numFmtId="5" fontId="15" fillId="0" borderId="86" xfId="0" applyNumberFormat="1" applyFont="1" applyBorder="1" applyAlignment="1">
      <alignment horizontal="right"/>
    </xf>
    <xf numFmtId="10" fontId="10" fillId="11" borderId="90" xfId="0" applyNumberFormat="1" applyFont="1" applyFill="1" applyBorder="1" applyAlignment="1">
      <alignment horizontal="right"/>
    </xf>
    <xf numFmtId="0" fontId="10" fillId="11" borderId="90" xfId="0" applyFont="1" applyFill="1" applyBorder="1" applyAlignment="1">
      <alignment horizontal="right"/>
    </xf>
    <xf numFmtId="9" fontId="10" fillId="9" borderId="6" xfId="0" applyNumberFormat="1" applyFont="1" applyFill="1" applyBorder="1" applyAlignment="1">
      <alignment horizontal="right"/>
    </xf>
    <xf numFmtId="5" fontId="15" fillId="0" borderId="11" xfId="0" applyNumberFormat="1" applyFont="1" applyBorder="1" applyAlignment="1">
      <alignment horizontal="right"/>
    </xf>
    <xf numFmtId="9" fontId="15" fillId="0" borderId="6" xfId="0" applyNumberFormat="1" applyFont="1" applyBorder="1" applyAlignment="1">
      <alignment horizontal="right"/>
    </xf>
    <xf numFmtId="6" fontId="10" fillId="11" borderId="11" xfId="0" applyNumberFormat="1" applyFont="1" applyFill="1" applyBorder="1" applyAlignment="1">
      <alignment horizontal="right"/>
    </xf>
    <xf numFmtId="0" fontId="27" fillId="0" borderId="7" xfId="0" applyFont="1" applyBorder="1" applyAlignment="1">
      <alignment horizontal="right"/>
    </xf>
    <xf numFmtId="0" fontId="14" fillId="7" borderId="7" xfId="0" applyFont="1" applyFill="1" applyBorder="1" applyAlignment="1">
      <alignment horizontal="right"/>
    </xf>
    <xf numFmtId="0" fontId="27" fillId="0" borderId="11" xfId="0" applyFont="1" applyBorder="1" applyAlignment="1">
      <alignment horizontal="right"/>
    </xf>
    <xf numFmtId="0" fontId="50" fillId="0" borderId="74" xfId="0" applyFont="1" applyBorder="1" applyAlignment="1">
      <alignment horizontal="right"/>
    </xf>
    <xf numFmtId="0" fontId="14" fillId="15" borderId="7" xfId="0" applyFont="1" applyFill="1" applyBorder="1" applyAlignment="1">
      <alignment horizontal="right"/>
    </xf>
    <xf numFmtId="5" fontId="14" fillId="15" borderId="6" xfId="0" applyNumberFormat="1" applyFont="1" applyFill="1" applyBorder="1" applyAlignment="1">
      <alignment horizontal="right"/>
    </xf>
    <xf numFmtId="5" fontId="14" fillId="15" borderId="73" xfId="0" applyNumberFormat="1" applyFont="1" applyFill="1" applyBorder="1" applyAlignment="1">
      <alignment horizontal="right"/>
    </xf>
    <xf numFmtId="5" fontId="14" fillId="15" borderId="7" xfId="0" applyNumberFormat="1" applyFont="1" applyFill="1" applyBorder="1" applyAlignment="1">
      <alignment horizontal="right"/>
    </xf>
    <xf numFmtId="5" fontId="14" fillId="15" borderId="12" xfId="0" applyNumberFormat="1" applyFont="1" applyFill="1" applyBorder="1" applyAlignment="1">
      <alignment horizontal="right"/>
    </xf>
    <xf numFmtId="10" fontId="12" fillId="15" borderId="98" xfId="0" applyNumberFormat="1" applyFont="1" applyFill="1" applyBorder="1" applyAlignment="1">
      <alignment horizontal="right"/>
    </xf>
    <xf numFmtId="0" fontId="11" fillId="0" borderId="98" xfId="0" applyFont="1" applyBorder="1" applyAlignment="1">
      <alignment horizontal="right"/>
    </xf>
    <xf numFmtId="6" fontId="7" fillId="15" borderId="11" xfId="0" applyNumberFormat="1" applyFont="1" applyFill="1" applyBorder="1" applyAlignment="1">
      <alignment horizontal="right"/>
    </xf>
    <xf numFmtId="0" fontId="50" fillId="0" borderId="76" xfId="0" applyFont="1" applyBorder="1" applyAlignment="1">
      <alignment horizontal="right"/>
    </xf>
    <xf numFmtId="0" fontId="47" fillId="0" borderId="18" xfId="0" applyFont="1" applyBorder="1" applyAlignment="1">
      <alignment horizontal="right"/>
    </xf>
    <xf numFmtId="5" fontId="46" fillId="0" borderId="16" xfId="0" applyNumberFormat="1" applyFont="1" applyBorder="1" applyAlignment="1">
      <alignment horizontal="right"/>
    </xf>
    <xf numFmtId="5" fontId="46" fillId="0" borderId="77" xfId="0" applyNumberFormat="1" applyFont="1" applyBorder="1" applyAlignment="1">
      <alignment horizontal="right"/>
    </xf>
    <xf numFmtId="5" fontId="46" fillId="0" borderId="18" xfId="0" applyNumberFormat="1" applyFont="1" applyBorder="1" applyAlignment="1">
      <alignment horizontal="right"/>
    </xf>
    <xf numFmtId="5" fontId="46" fillId="0" borderId="30" xfId="0" applyNumberFormat="1" applyFont="1" applyBorder="1" applyAlignment="1">
      <alignment horizontal="right"/>
    </xf>
    <xf numFmtId="10" fontId="46" fillId="0" borderId="89" xfId="0" applyNumberFormat="1" applyFont="1" applyBorder="1" applyAlignment="1">
      <alignment horizontal="right"/>
    </xf>
    <xf numFmtId="165" fontId="11" fillId="0" borderId="89" xfId="0" applyNumberFormat="1" applyFont="1" applyBorder="1" applyAlignment="1">
      <alignment horizontal="right"/>
    </xf>
    <xf numFmtId="5" fontId="7" fillId="11" borderId="135" xfId="0" applyNumberFormat="1" applyFont="1" applyFill="1" applyBorder="1" applyAlignment="1">
      <alignment horizontal="right"/>
    </xf>
    <xf numFmtId="9" fontId="15" fillId="11" borderId="16" xfId="0" applyNumberFormat="1" applyFont="1" applyFill="1" applyBorder="1" applyAlignment="1">
      <alignment horizontal="right"/>
    </xf>
    <xf numFmtId="0" fontId="10" fillId="0" borderId="77" xfId="0" applyFont="1" applyBorder="1" applyAlignment="1">
      <alignment horizontal="right"/>
    </xf>
    <xf numFmtId="166" fontId="45" fillId="15" borderId="7" xfId="0" applyNumberFormat="1" applyFont="1" applyFill="1" applyBorder="1" applyAlignment="1">
      <alignment horizontal="right"/>
    </xf>
    <xf numFmtId="0" fontId="0" fillId="0" borderId="69" xfId="0" applyBorder="1" applyAlignment="1">
      <alignment horizontal="right"/>
    </xf>
    <xf numFmtId="166" fontId="45" fillId="15" borderId="0" xfId="0" applyNumberFormat="1" applyFont="1" applyFill="1" applyAlignment="1">
      <alignment horizontal="right"/>
    </xf>
    <xf numFmtId="166" fontId="45" fillId="15" borderId="14" xfId="0" applyNumberFormat="1" applyFont="1" applyFill="1" applyBorder="1" applyAlignment="1">
      <alignment horizontal="right"/>
    </xf>
    <xf numFmtId="0" fontId="10" fillId="0" borderId="78" xfId="0" applyFont="1" applyBorder="1" applyAlignment="1">
      <alignment horizontal="center" wrapText="1"/>
    </xf>
    <xf numFmtId="0" fontId="44" fillId="0" borderId="148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right" vertical="top"/>
    </xf>
    <xf numFmtId="3" fontId="15" fillId="0" borderId="21" xfId="0" applyNumberFormat="1" applyFont="1" applyBorder="1" applyAlignment="1">
      <alignment horizontal="right"/>
    </xf>
    <xf numFmtId="3" fontId="15" fillId="0" borderId="20" xfId="0" applyNumberFormat="1" applyFont="1" applyBorder="1" applyAlignment="1">
      <alignment horizontal="right"/>
    </xf>
    <xf numFmtId="0" fontId="15" fillId="0" borderId="127" xfId="0" applyFont="1" applyBorder="1" applyAlignment="1">
      <alignment horizontal="right"/>
    </xf>
    <xf numFmtId="0" fontId="15" fillId="0" borderId="133" xfId="0" applyFont="1" applyBorder="1" applyAlignment="1">
      <alignment horizontal="right"/>
    </xf>
    <xf numFmtId="10" fontId="10" fillId="0" borderId="123" xfId="0" applyNumberFormat="1" applyFont="1" applyBorder="1" applyAlignment="1">
      <alignment horizontal="right"/>
    </xf>
    <xf numFmtId="0" fontId="4" fillId="0" borderId="58" xfId="0" applyFont="1" applyBorder="1" applyAlignment="1">
      <alignment horizontal="right"/>
    </xf>
    <xf numFmtId="3" fontId="15" fillId="0" borderId="17" xfId="0" applyNumberFormat="1" applyFont="1" applyBorder="1" applyAlignment="1">
      <alignment horizontal="right" wrapText="1"/>
    </xf>
    <xf numFmtId="3" fontId="15" fillId="24" borderId="17" xfId="0" applyNumberFormat="1" applyFont="1" applyFill="1" applyBorder="1" applyAlignment="1">
      <alignment horizontal="right" wrapText="1"/>
    </xf>
    <xf numFmtId="0" fontId="15" fillId="0" borderId="17" xfId="0" applyFont="1" applyBorder="1" applyAlignment="1">
      <alignment horizontal="right" wrapText="1"/>
    </xf>
    <xf numFmtId="3" fontId="15" fillId="0" borderId="71" xfId="0" applyNumberFormat="1" applyFont="1" applyBorder="1" applyAlignment="1">
      <alignment horizontal="right" wrapText="1"/>
    </xf>
    <xf numFmtId="0" fontId="15" fillId="25" borderId="128" xfId="0" applyFont="1" applyFill="1" applyBorder="1" applyAlignment="1">
      <alignment horizontal="right" wrapText="1"/>
    </xf>
    <xf numFmtId="0" fontId="15" fillId="29" borderId="128" xfId="0" applyFont="1" applyFill="1" applyBorder="1" applyAlignment="1">
      <alignment horizontal="right" wrapText="1"/>
    </xf>
    <xf numFmtId="0" fontId="4" fillId="0" borderId="62" xfId="0" applyFont="1" applyBorder="1" applyAlignment="1">
      <alignment horizontal="right"/>
    </xf>
    <xf numFmtId="3" fontId="15" fillId="0" borderId="27" xfId="0" applyNumberFormat="1" applyFont="1" applyBorder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0" fontId="4" fillId="0" borderId="63" xfId="0" applyFont="1" applyBorder="1" applyAlignment="1">
      <alignment horizontal="right"/>
    </xf>
    <xf numFmtId="3" fontId="15" fillId="0" borderId="5" xfId="0" applyNumberFormat="1" applyFont="1" applyBorder="1" applyAlignment="1">
      <alignment horizontal="right" wrapText="1"/>
    </xf>
    <xf numFmtId="3" fontId="15" fillId="24" borderId="4" xfId="0" applyNumberFormat="1" applyFont="1" applyFill="1" applyBorder="1" applyAlignment="1">
      <alignment horizontal="right" wrapText="1"/>
    </xf>
    <xf numFmtId="0" fontId="10" fillId="0" borderId="131" xfId="0" applyFont="1" applyBorder="1" applyAlignment="1">
      <alignment horizontal="right"/>
    </xf>
    <xf numFmtId="0" fontId="15" fillId="0" borderId="129" xfId="0" applyFont="1" applyBorder="1" applyAlignment="1">
      <alignment horizontal="right"/>
    </xf>
    <xf numFmtId="37" fontId="10" fillId="0" borderId="13" xfId="0" applyNumberFormat="1" applyFont="1" applyBorder="1" applyAlignment="1">
      <alignment horizontal="right"/>
    </xf>
    <xf numFmtId="37" fontId="10" fillId="0" borderId="111" xfId="0" applyNumberFormat="1" applyFont="1" applyBorder="1" applyAlignment="1">
      <alignment horizontal="right"/>
    </xf>
    <xf numFmtId="37" fontId="10" fillId="24" borderId="114" xfId="0" applyNumberFormat="1" applyFont="1" applyFill="1" applyBorder="1" applyAlignment="1">
      <alignment horizontal="right"/>
    </xf>
    <xf numFmtId="37" fontId="10" fillId="0" borderId="97" xfId="0" applyNumberFormat="1" applyFont="1" applyBorder="1" applyAlignment="1">
      <alignment horizontal="right"/>
    </xf>
    <xf numFmtId="10" fontId="10" fillId="0" borderId="121" xfId="0" applyNumberFormat="1" applyFont="1" applyBorder="1" applyAlignment="1">
      <alignment horizontal="right"/>
    </xf>
    <xf numFmtId="38" fontId="10" fillId="0" borderId="130" xfId="0" applyNumberFormat="1" applyFont="1" applyBorder="1" applyAlignment="1">
      <alignment horizontal="right"/>
    </xf>
    <xf numFmtId="37" fontId="10" fillId="0" borderId="36" xfId="0" applyNumberFormat="1" applyFont="1" applyBorder="1" applyAlignment="1">
      <alignment horizontal="right"/>
    </xf>
    <xf numFmtId="0" fontId="10" fillId="0" borderId="106" xfId="0" applyFont="1" applyBorder="1" applyAlignment="1">
      <alignment horizontal="right"/>
    </xf>
    <xf numFmtId="0" fontId="10" fillId="24" borderId="69" xfId="0" applyFont="1" applyFill="1" applyBorder="1" applyAlignment="1">
      <alignment horizontal="right"/>
    </xf>
    <xf numFmtId="10" fontId="10" fillId="0" borderId="122" xfId="0" applyNumberFormat="1" applyFont="1" applyBorder="1" applyAlignment="1">
      <alignment horizontal="right"/>
    </xf>
    <xf numFmtId="37" fontId="10" fillId="0" borderId="106" xfId="0" applyNumberFormat="1" applyFont="1" applyBorder="1" applyAlignment="1">
      <alignment horizontal="right"/>
    </xf>
    <xf numFmtId="37" fontId="10" fillId="24" borderId="115" xfId="0" applyNumberFormat="1" applyFont="1" applyFill="1" applyBorder="1" applyAlignment="1">
      <alignment horizontal="right"/>
    </xf>
    <xf numFmtId="37" fontId="10" fillId="0" borderId="35" xfId="0" applyNumberFormat="1" applyFont="1" applyBorder="1" applyAlignment="1">
      <alignment horizontal="right"/>
    </xf>
    <xf numFmtId="10" fontId="10" fillId="0" borderId="113" xfId="0" applyNumberFormat="1" applyFont="1" applyBorder="1" applyAlignment="1">
      <alignment horizontal="right"/>
    </xf>
    <xf numFmtId="0" fontId="10" fillId="0" borderId="62" xfId="0" applyFont="1" applyBorder="1" applyAlignment="1">
      <alignment horizontal="right" indent="2"/>
    </xf>
    <xf numFmtId="37" fontId="10" fillId="0" borderId="10" xfId="0" applyNumberFormat="1" applyFont="1" applyBorder="1" applyAlignment="1">
      <alignment horizontal="right"/>
    </xf>
    <xf numFmtId="37" fontId="10" fillId="24" borderId="10" xfId="0" applyNumberFormat="1" applyFont="1" applyFill="1" applyBorder="1" applyAlignment="1">
      <alignment horizontal="right"/>
    </xf>
    <xf numFmtId="0" fontId="7" fillId="0" borderId="142" xfId="0" applyFont="1" applyBorder="1" applyAlignment="1">
      <alignment horizontal="right"/>
    </xf>
    <xf numFmtId="37" fontId="15" fillId="0" borderId="21" xfId="0" applyNumberFormat="1" applyFont="1" applyBorder="1" applyAlignment="1">
      <alignment horizontal="right"/>
    </xf>
    <xf numFmtId="37" fontId="15" fillId="0" borderId="20" xfId="0" applyNumberFormat="1" applyFont="1" applyBorder="1" applyAlignment="1">
      <alignment horizontal="right"/>
    </xf>
    <xf numFmtId="37" fontId="15" fillId="24" borderId="20" xfId="0" applyNumberFormat="1" applyFont="1" applyFill="1" applyBorder="1" applyAlignment="1">
      <alignment horizontal="right"/>
    </xf>
    <xf numFmtId="10" fontId="15" fillId="0" borderId="134" xfId="0" applyNumberFormat="1" applyFont="1" applyBorder="1" applyAlignment="1">
      <alignment horizontal="right"/>
    </xf>
    <xf numFmtId="38" fontId="15" fillId="0" borderId="123" xfId="0" applyNumberFormat="1" applyFont="1" applyBorder="1" applyAlignment="1">
      <alignment horizontal="right"/>
    </xf>
    <xf numFmtId="9" fontId="10" fillId="0" borderId="123" xfId="0" applyNumberFormat="1" applyFont="1" applyBorder="1" applyAlignment="1">
      <alignment horizontal="right"/>
    </xf>
    <xf numFmtId="0" fontId="4" fillId="0" borderId="81" xfId="0" applyFont="1" applyBorder="1" applyAlignment="1">
      <alignment horizontal="right" wrapText="1"/>
    </xf>
    <xf numFmtId="37" fontId="10" fillId="0" borderId="28" xfId="0" applyNumberFormat="1" applyFont="1" applyBorder="1" applyAlignment="1">
      <alignment horizontal="right"/>
    </xf>
    <xf numFmtId="0" fontId="10" fillId="24" borderId="20" xfId="0" applyFont="1" applyFill="1" applyBorder="1" applyAlignment="1">
      <alignment horizontal="right"/>
    </xf>
    <xf numFmtId="10" fontId="10" fillId="0" borderId="28" xfId="0" applyNumberFormat="1" applyFont="1" applyBorder="1" applyAlignment="1">
      <alignment horizontal="right"/>
    </xf>
    <xf numFmtId="0" fontId="10" fillId="0" borderId="132" xfId="0" applyFont="1" applyBorder="1" applyAlignment="1">
      <alignment horizontal="right"/>
    </xf>
    <xf numFmtId="9" fontId="10" fillId="0" borderId="132" xfId="0" applyNumberFormat="1" applyFont="1" applyBorder="1" applyAlignment="1">
      <alignment horizontal="right"/>
    </xf>
    <xf numFmtId="0" fontId="10" fillId="0" borderId="107" xfId="0" applyFont="1" applyBorder="1" applyAlignment="1">
      <alignment horizontal="right"/>
    </xf>
    <xf numFmtId="10" fontId="10" fillId="0" borderId="124" xfId="0" applyNumberFormat="1" applyFont="1" applyBorder="1" applyAlignment="1">
      <alignment horizontal="right"/>
    </xf>
    <xf numFmtId="10" fontId="10" fillId="0" borderId="125" xfId="0" applyNumberFormat="1" applyFont="1" applyBorder="1" applyAlignment="1">
      <alignment horizontal="right"/>
    </xf>
    <xf numFmtId="37" fontId="15" fillId="0" borderId="146" xfId="0" applyNumberFormat="1" applyFont="1" applyBorder="1" applyAlignment="1">
      <alignment horizontal="right"/>
    </xf>
    <xf numFmtId="0" fontId="10" fillId="24" borderId="57" xfId="0" applyFont="1" applyFill="1" applyBorder="1" applyAlignment="1">
      <alignment horizontal="right"/>
    </xf>
    <xf numFmtId="10" fontId="10" fillId="0" borderId="147" xfId="0" applyNumberFormat="1" applyFont="1" applyBorder="1" applyAlignment="1">
      <alignment horizontal="right"/>
    </xf>
    <xf numFmtId="37" fontId="10" fillId="0" borderId="101" xfId="0" applyNumberFormat="1" applyFont="1" applyBorder="1" applyAlignment="1">
      <alignment horizontal="right"/>
    </xf>
    <xf numFmtId="37" fontId="10" fillId="0" borderId="109" xfId="0" applyNumberFormat="1" applyFont="1" applyBorder="1" applyAlignment="1">
      <alignment horizontal="right"/>
    </xf>
    <xf numFmtId="37" fontId="10" fillId="24" borderId="118" xfId="0" applyNumberFormat="1" applyFont="1" applyFill="1" applyBorder="1" applyAlignment="1">
      <alignment horizontal="right"/>
    </xf>
    <xf numFmtId="38" fontId="10" fillId="0" borderId="133" xfId="0" applyNumberFormat="1" applyFont="1" applyBorder="1" applyAlignment="1">
      <alignment horizontal="right"/>
    </xf>
    <xf numFmtId="37" fontId="10" fillId="0" borderId="67" xfId="0" applyNumberFormat="1" applyFont="1" applyBorder="1" applyAlignment="1">
      <alignment horizontal="right"/>
    </xf>
    <xf numFmtId="10" fontId="10" fillId="0" borderId="126" xfId="0" applyNumberFormat="1" applyFont="1" applyBorder="1" applyAlignment="1">
      <alignment horizontal="right"/>
    </xf>
    <xf numFmtId="37" fontId="10" fillId="0" borderId="110" xfId="0" applyNumberFormat="1" applyFont="1" applyBorder="1" applyAlignment="1">
      <alignment horizontal="right"/>
    </xf>
    <xf numFmtId="37" fontId="10" fillId="24" borderId="116" xfId="0" applyNumberFormat="1" applyFont="1" applyFill="1" applyBorder="1" applyAlignment="1">
      <alignment horizontal="right"/>
    </xf>
    <xf numFmtId="0" fontId="10" fillId="0" borderId="80" xfId="0" applyFont="1" applyBorder="1" applyAlignment="1">
      <alignment horizontal="right" indent="2"/>
    </xf>
    <xf numFmtId="10" fontId="10" fillId="0" borderId="134" xfId="0" applyNumberFormat="1" applyFont="1" applyBorder="1" applyAlignment="1">
      <alignment horizontal="right"/>
    </xf>
    <xf numFmtId="38" fontId="15" fillId="0" borderId="132" xfId="0" applyNumberFormat="1" applyFont="1" applyBorder="1" applyAlignment="1">
      <alignment horizontal="right"/>
    </xf>
    <xf numFmtId="0" fontId="11" fillId="0" borderId="62" xfId="0" applyFont="1" applyBorder="1" applyAlignment="1">
      <alignment horizontal="right" indent="2"/>
    </xf>
    <xf numFmtId="0" fontId="10" fillId="0" borderId="103" xfId="0" applyFont="1" applyBorder="1" applyAlignment="1">
      <alignment horizontal="right"/>
    </xf>
    <xf numFmtId="10" fontId="10" fillId="0" borderId="145" xfId="0" applyNumberFormat="1" applyFont="1" applyBorder="1" applyAlignment="1">
      <alignment horizontal="right"/>
    </xf>
    <xf numFmtId="0" fontId="7" fillId="0" borderId="70" xfId="0" applyFont="1" applyBorder="1" applyAlignment="1">
      <alignment horizontal="right"/>
    </xf>
    <xf numFmtId="37" fontId="15" fillId="0" borderId="17" xfId="0" applyNumberFormat="1" applyFont="1" applyBorder="1" applyAlignment="1">
      <alignment horizontal="right"/>
    </xf>
    <xf numFmtId="37" fontId="15" fillId="0" borderId="144" xfId="0" applyNumberFormat="1" applyFont="1" applyBorder="1" applyAlignment="1">
      <alignment horizontal="right"/>
    </xf>
    <xf numFmtId="37" fontId="15" fillId="24" borderId="57" xfId="0" applyNumberFormat="1" applyFont="1" applyFill="1" applyBorder="1" applyAlignment="1">
      <alignment horizontal="right"/>
    </xf>
    <xf numFmtId="10" fontId="10" fillId="0" borderId="71" xfId="0" applyNumberFormat="1" applyFont="1" applyBorder="1" applyAlignment="1">
      <alignment horizontal="right"/>
    </xf>
    <xf numFmtId="0" fontId="7" fillId="0" borderId="64" xfId="0" applyFont="1" applyBorder="1" applyAlignment="1">
      <alignment horizontal="right"/>
    </xf>
    <xf numFmtId="37" fontId="15" fillId="0" borderId="18" xfId="0" applyNumberFormat="1" applyFont="1" applyBorder="1" applyAlignment="1">
      <alignment horizontal="right"/>
    </xf>
    <xf numFmtId="37" fontId="15" fillId="0" borderId="143" xfId="0" applyNumberFormat="1" applyFont="1" applyBorder="1" applyAlignment="1">
      <alignment horizontal="right"/>
    </xf>
    <xf numFmtId="37" fontId="15" fillId="24" borderId="16" xfId="0" applyNumberFormat="1" applyFont="1" applyFill="1" applyBorder="1" applyAlignment="1">
      <alignment horizontal="right"/>
    </xf>
    <xf numFmtId="10" fontId="10" fillId="0" borderId="135" xfId="0" applyNumberFormat="1" applyFont="1" applyBorder="1" applyAlignment="1">
      <alignment horizontal="right"/>
    </xf>
    <xf numFmtId="37" fontId="10" fillId="0" borderId="38" xfId="0" applyNumberFormat="1" applyFont="1" applyBorder="1" applyAlignment="1">
      <alignment horizontal="right"/>
    </xf>
    <xf numFmtId="37" fontId="10" fillId="0" borderId="112" xfId="0" applyNumberFormat="1" applyFont="1" applyBorder="1" applyAlignment="1">
      <alignment horizontal="right"/>
    </xf>
    <xf numFmtId="37" fontId="10" fillId="0" borderId="113" xfId="0" applyNumberFormat="1" applyFont="1" applyBorder="1" applyAlignment="1">
      <alignment horizontal="right"/>
    </xf>
    <xf numFmtId="37" fontId="10" fillId="0" borderId="103" xfId="0" applyNumberFormat="1" applyFont="1" applyBorder="1" applyAlignment="1">
      <alignment horizontal="right"/>
    </xf>
    <xf numFmtId="37" fontId="10" fillId="0" borderId="0" xfId="0" applyNumberFormat="1" applyFont="1" applyAlignment="1">
      <alignment horizontal="right"/>
    </xf>
    <xf numFmtId="0" fontId="12" fillId="13" borderId="142" xfId="0" applyFont="1" applyFill="1" applyBorder="1" applyAlignment="1">
      <alignment horizontal="right"/>
    </xf>
    <xf numFmtId="0" fontId="10" fillId="0" borderId="141" xfId="0" applyFont="1" applyBorder="1" applyAlignment="1">
      <alignment horizontal="right" indent="2"/>
    </xf>
    <xf numFmtId="37" fontId="10" fillId="0" borderId="22" xfId="0" applyNumberFormat="1" applyFont="1" applyBorder="1" applyAlignment="1">
      <alignment horizontal="right"/>
    </xf>
    <xf numFmtId="37" fontId="10" fillId="0" borderId="48" xfId="0" applyNumberFormat="1" applyFont="1" applyBorder="1" applyAlignment="1">
      <alignment horizontal="right"/>
    </xf>
    <xf numFmtId="0" fontId="10" fillId="0" borderId="104" xfId="0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7" fontId="10" fillId="0" borderId="37" xfId="0" applyNumberFormat="1" applyFont="1" applyBorder="1" applyAlignment="1">
      <alignment horizontal="right"/>
    </xf>
    <xf numFmtId="37" fontId="10" fillId="0" borderId="119" xfId="0" applyNumberFormat="1" applyFont="1" applyBorder="1" applyAlignment="1">
      <alignment horizontal="right"/>
    </xf>
    <xf numFmtId="37" fontId="10" fillId="0" borderId="40" xfId="0" applyNumberFormat="1" applyFont="1" applyBorder="1" applyAlignment="1">
      <alignment horizontal="right"/>
    </xf>
    <xf numFmtId="0" fontId="10" fillId="0" borderId="133" xfId="0" applyFont="1" applyBorder="1" applyAlignment="1">
      <alignment horizontal="right"/>
    </xf>
    <xf numFmtId="37" fontId="10" fillId="0" borderId="8" xfId="0" applyNumberFormat="1" applyFont="1" applyBorder="1" applyAlignment="1">
      <alignment horizontal="right"/>
    </xf>
    <xf numFmtId="37" fontId="10" fillId="0" borderId="108" xfId="0" applyNumberFormat="1" applyFont="1" applyBorder="1" applyAlignment="1">
      <alignment horizontal="right"/>
    </xf>
    <xf numFmtId="37" fontId="10" fillId="0" borderId="105" xfId="0" applyNumberFormat="1" applyFont="1" applyBorder="1" applyAlignment="1">
      <alignment horizontal="right"/>
    </xf>
    <xf numFmtId="10" fontId="10" fillId="0" borderId="11" xfId="0" applyNumberFormat="1" applyFont="1" applyBorder="1" applyAlignment="1">
      <alignment horizontal="right"/>
    </xf>
    <xf numFmtId="0" fontId="10" fillId="0" borderId="123" xfId="0" applyFont="1" applyBorder="1" applyAlignment="1">
      <alignment horizontal="right"/>
    </xf>
    <xf numFmtId="0" fontId="10" fillId="0" borderId="120" xfId="0" applyFont="1" applyBorder="1" applyAlignment="1">
      <alignment horizontal="right"/>
    </xf>
    <xf numFmtId="10" fontId="10" fillId="0" borderId="117" xfId="0" applyNumberFormat="1" applyFont="1" applyBorder="1" applyAlignment="1">
      <alignment horizontal="right"/>
    </xf>
    <xf numFmtId="0" fontId="52" fillId="13" borderId="65" xfId="0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CCFFFF"/>
      <color rgb="FFF4FFFF"/>
      <color rgb="FFD3F3F7"/>
      <color rgb="FFF79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2"/>
  <sheetViews>
    <sheetView tabSelected="1" zoomScaleNormal="100" workbookViewId="0">
      <selection activeCell="C2" sqref="C2:K2"/>
    </sheetView>
  </sheetViews>
  <sheetFormatPr defaultColWidth="8.88671875" defaultRowHeight="13.8" x14ac:dyDescent="0.25"/>
  <cols>
    <col min="1" max="1" width="39" style="11" customWidth="1"/>
    <col min="2" max="2" width="12.6640625" style="11" hidden="1" customWidth="1"/>
    <col min="3" max="3" width="11.33203125" style="11" customWidth="1"/>
    <col min="4" max="4" width="12.6640625" style="11" hidden="1" customWidth="1"/>
    <col min="5" max="5" width="12" style="11" hidden="1" customWidth="1"/>
    <col min="6" max="6" width="13.44140625" style="11" hidden="1" customWidth="1"/>
    <col min="7" max="7" width="10.6640625" style="11" hidden="1" customWidth="1"/>
    <col min="8" max="8" width="16.109375" style="11" customWidth="1"/>
    <col min="9" max="9" width="12.33203125" style="11" hidden="1" customWidth="1"/>
    <col min="10" max="10" width="11.6640625" style="107" hidden="1" customWidth="1"/>
    <col min="11" max="11" width="20.33203125" style="11" customWidth="1"/>
    <col min="12" max="16384" width="8.88671875" style="11"/>
  </cols>
  <sheetData>
    <row r="1" spans="1:12" ht="48" customHeight="1" thickBot="1" x14ac:dyDescent="0.3">
      <c r="A1" s="122" t="s">
        <v>1037</v>
      </c>
      <c r="B1" s="123"/>
      <c r="C1" s="123"/>
      <c r="D1" s="123"/>
      <c r="E1" s="123"/>
      <c r="F1" s="123"/>
      <c r="G1" s="123"/>
      <c r="H1" s="123"/>
      <c r="I1" s="123"/>
      <c r="J1" s="123"/>
      <c r="K1" s="805"/>
    </row>
    <row r="2" spans="1:12" s="104" customFormat="1" ht="14.4" thickBot="1" x14ac:dyDescent="0.3">
      <c r="A2" s="806" t="s">
        <v>1040</v>
      </c>
      <c r="B2" s="807">
        <f>'A- Summary Inc_Ex'!C2</f>
        <v>0</v>
      </c>
      <c r="C2" s="807"/>
      <c r="D2" s="807"/>
      <c r="E2" s="807"/>
      <c r="F2" s="807"/>
      <c r="G2" s="808"/>
      <c r="H2" s="809"/>
      <c r="I2" s="810"/>
      <c r="J2" s="811"/>
      <c r="K2" s="809"/>
    </row>
    <row r="3" spans="1:12" s="104" customFormat="1" ht="46.8" customHeight="1" x14ac:dyDescent="0.25">
      <c r="A3" s="812"/>
      <c r="B3" s="813" t="str">
        <f>'A- Summary Inc_Ex'!C3</f>
        <v>APPROVED Amended  Budget 2024_25</v>
      </c>
      <c r="C3" s="813" t="str">
        <f>'A- Summary Inc_Ex'!D3</f>
        <v>Final
FY 24_25
FYE</v>
      </c>
      <c r="D3" s="814" t="str">
        <f>'A- Summary Inc_Ex'!E3</f>
        <v>FY2025/26 ADOPTED BUDGET</v>
      </c>
      <c r="E3" s="813" t="str">
        <f>'A- Summary Inc_Ex'!F3</f>
        <v>Previous
Year toDate
3/31/2025</v>
      </c>
      <c r="F3" s="815" t="str">
        <f>'A- Summary Inc_Ex'!G3</f>
        <v>FY 25_26
 to Date
3/31/2026</v>
      </c>
      <c r="G3" s="816" t="str">
        <f>'A- Summary Inc_Ex'!H3</f>
        <v>Percentage of Adopted Budget</v>
      </c>
      <c r="H3" s="817" t="str">
        <f>'A- Summary Inc_Ex'!O3</f>
        <v xml:space="preserve">FY2025/26 AMENDED  BUDGET </v>
      </c>
      <c r="I3" s="817" t="s">
        <v>986</v>
      </c>
      <c r="J3" s="817" t="s">
        <v>985</v>
      </c>
      <c r="K3" s="818" t="s">
        <v>1038</v>
      </c>
    </row>
    <row r="4" spans="1:12" s="104" customFormat="1" ht="7.2" customHeight="1" x14ac:dyDescent="0.25">
      <c r="A4" s="819"/>
      <c r="B4" s="820"/>
      <c r="C4" s="821"/>
      <c r="D4" s="630"/>
      <c r="F4" s="441"/>
      <c r="H4" s="443"/>
      <c r="I4" s="443"/>
      <c r="J4" s="447"/>
      <c r="K4" s="443"/>
    </row>
    <row r="5" spans="1:12" s="104" customFormat="1" ht="15.6" customHeight="1" x14ac:dyDescent="0.25">
      <c r="A5" s="822" t="s">
        <v>0</v>
      </c>
      <c r="B5" s="823"/>
      <c r="C5" s="823"/>
      <c r="D5" s="824"/>
      <c r="E5" s="166"/>
      <c r="F5" s="166"/>
      <c r="G5" s="166"/>
      <c r="H5" s="443"/>
      <c r="I5" s="825"/>
      <c r="J5" s="450"/>
      <c r="K5" s="826" t="s">
        <v>579</v>
      </c>
    </row>
    <row r="6" spans="1:12" s="104" customFormat="1" x14ac:dyDescent="0.25">
      <c r="A6" s="49" t="s">
        <v>1032</v>
      </c>
      <c r="B6" s="827">
        <f>'A- Summary Inc_Ex'!C8</f>
        <v>1837361.6176500001</v>
      </c>
      <c r="C6" s="828">
        <f>'A- Summary Inc_Ex'!D8</f>
        <v>1867364.12</v>
      </c>
      <c r="D6" s="829">
        <f>'A- Summary Inc_Ex'!E8</f>
        <v>2037980</v>
      </c>
      <c r="E6" s="830">
        <f>'A- Summary Inc_Ex'!F8</f>
        <v>1595598.8800000001</v>
      </c>
      <c r="F6" s="830">
        <f>'A- Summary Inc_Ex'!G8</f>
        <v>1674739.3599999999</v>
      </c>
      <c r="G6" s="831">
        <f>'A- Summary Inc_Ex'!H8</f>
        <v>0.82176437452771856</v>
      </c>
      <c r="H6" s="832">
        <f>'A- Summary Inc_Ex'!O8</f>
        <v>2037980</v>
      </c>
      <c r="I6" s="446">
        <v>0</v>
      </c>
      <c r="J6" s="447">
        <f>(H6-D6)/D6</f>
        <v>0</v>
      </c>
      <c r="K6" s="832">
        <f>'A- Summary Inc_Ex'!S6</f>
        <v>2160703</v>
      </c>
      <c r="L6" s="244"/>
    </row>
    <row r="7" spans="1:12" s="104" customFormat="1" x14ac:dyDescent="0.25">
      <c r="A7" s="41"/>
      <c r="B7" s="833"/>
      <c r="C7" s="834"/>
      <c r="D7" s="835"/>
      <c r="E7" s="55"/>
      <c r="F7" s="55"/>
      <c r="G7" s="836"/>
      <c r="H7" s="443"/>
      <c r="I7" s="443"/>
      <c r="J7" s="447"/>
      <c r="K7" s="443"/>
    </row>
    <row r="8" spans="1:12" s="104" customFormat="1" x14ac:dyDescent="0.25">
      <c r="A8" s="42" t="s">
        <v>4</v>
      </c>
      <c r="B8" s="833">
        <f>'A- Summary Inc_Ex'!C14</f>
        <v>81000</v>
      </c>
      <c r="C8" s="837">
        <f>'A- Summary Inc_Ex'!D14</f>
        <v>67280.160000000003</v>
      </c>
      <c r="D8" s="838">
        <f>'A- Summary Inc_Ex'!E14</f>
        <v>44000</v>
      </c>
      <c r="E8" s="839">
        <f>'A- Summary Inc_Ex'!F14</f>
        <v>55828.57</v>
      </c>
      <c r="F8" s="839">
        <f>'A- Summary Inc_Ex'!G14</f>
        <v>34235.33</v>
      </c>
      <c r="G8" s="840">
        <f>'A- Summary Inc_Ex'!H14</f>
        <v>0.77807568181818187</v>
      </c>
      <c r="H8" s="446">
        <f>'A- Summary Inc_Ex'!O14</f>
        <v>42500</v>
      </c>
      <c r="I8" s="446">
        <f>H8-D8</f>
        <v>-1500</v>
      </c>
      <c r="J8" s="447">
        <f>(H8-D8)/D8</f>
        <v>-3.4090909090909088E-2</v>
      </c>
      <c r="K8" s="446">
        <f>'A- Summary Inc_Ex'!S14</f>
        <v>50000</v>
      </c>
    </row>
    <row r="9" spans="1:12" s="104" customFormat="1" ht="14.4" thickBot="1" x14ac:dyDescent="0.3">
      <c r="A9" s="841"/>
      <c r="B9" s="842"/>
      <c r="C9" s="842"/>
      <c r="D9" s="843"/>
      <c r="E9" s="55"/>
      <c r="F9" s="55"/>
      <c r="G9" s="245"/>
      <c r="H9" s="443"/>
      <c r="I9" s="443"/>
      <c r="J9" s="447"/>
      <c r="K9" s="443"/>
    </row>
    <row r="10" spans="1:12" s="104" customFormat="1" ht="14.4" thickBot="1" x14ac:dyDescent="0.3">
      <c r="A10" s="844" t="s">
        <v>13</v>
      </c>
      <c r="B10" s="845">
        <f>'A- Summary Inc_Ex'!C18</f>
        <v>1918361.6176500001</v>
      </c>
      <c r="C10" s="846">
        <f>'A- Summary Inc_Ex'!D18</f>
        <v>2299700.2800000003</v>
      </c>
      <c r="D10" s="847">
        <f>'A- Summary Inc_Ex'!E18</f>
        <v>2081980</v>
      </c>
      <c r="E10" s="845">
        <f>'A- Summary Inc_Ex'!F18</f>
        <v>1651427.4500000002</v>
      </c>
      <c r="F10" s="845">
        <f>'A- Summary Inc_Ex'!G18</f>
        <v>1708974.69</v>
      </c>
      <c r="G10" s="848">
        <f>'A- Summary Inc_Ex'!H18</f>
        <v>0.82084106955878533</v>
      </c>
      <c r="H10" s="849">
        <f>H8+H6</f>
        <v>2080480</v>
      </c>
      <c r="I10" s="849"/>
      <c r="J10" s="850"/>
      <c r="K10" s="849">
        <f>K8+K6</f>
        <v>2210703</v>
      </c>
    </row>
    <row r="11" spans="1:12" s="104" customFormat="1" ht="28.2" thickBot="1" x14ac:dyDescent="0.3">
      <c r="A11" s="851" t="s">
        <v>204</v>
      </c>
      <c r="B11" s="852"/>
      <c r="C11" s="473"/>
      <c r="D11" s="853"/>
      <c r="E11" s="473"/>
      <c r="F11" s="473"/>
      <c r="G11" s="854"/>
      <c r="H11" s="855"/>
      <c r="I11" s="855"/>
      <c r="J11" s="856"/>
      <c r="K11" s="855"/>
    </row>
    <row r="12" spans="1:12" s="104" customFormat="1" x14ac:dyDescent="0.25">
      <c r="A12" s="841"/>
      <c r="B12" s="842"/>
      <c r="C12" s="857"/>
      <c r="D12" s="835"/>
      <c r="E12" s="55"/>
      <c r="F12" s="55"/>
      <c r="G12" s="245"/>
      <c r="H12" s="443"/>
      <c r="I12" s="443"/>
      <c r="J12" s="447"/>
      <c r="K12" s="443"/>
    </row>
    <row r="13" spans="1:12" s="104" customFormat="1" x14ac:dyDescent="0.25">
      <c r="A13" s="44" t="s">
        <v>21</v>
      </c>
      <c r="B13" s="839">
        <f>'A- Summary Inc_Ex'!C28</f>
        <v>252500</v>
      </c>
      <c r="C13" s="837">
        <f>'A- Summary Inc_Ex'!D28</f>
        <v>253340.87</v>
      </c>
      <c r="D13" s="838">
        <f>'A- Summary Inc_Ex'!E28</f>
        <v>254000</v>
      </c>
      <c r="E13" s="839">
        <f>'A- Summary Inc_Ex'!F28</f>
        <v>116496.51000000001</v>
      </c>
      <c r="F13" s="839">
        <f>'A- Summary Inc_Ex'!G28</f>
        <v>126011.72</v>
      </c>
      <c r="G13" s="858">
        <f>'A- Summary Inc_Ex'!H28</f>
        <v>0.49610913385826771</v>
      </c>
      <c r="H13" s="446">
        <f>'A- Summary Inc_Ex'!O28</f>
        <v>268100</v>
      </c>
      <c r="I13" s="446">
        <f>H13-D13</f>
        <v>14100</v>
      </c>
      <c r="J13" s="447">
        <f>(H13-D13)/D13</f>
        <v>5.551181102362205E-2</v>
      </c>
      <c r="K13" s="446">
        <f>'A- Summary Inc_Ex'!S28</f>
        <v>265500</v>
      </c>
    </row>
    <row r="14" spans="1:12" s="104" customFormat="1" x14ac:dyDescent="0.25">
      <c r="A14" s="45"/>
      <c r="B14" s="839"/>
      <c r="C14" s="857"/>
      <c r="D14" s="835"/>
      <c r="E14" s="55"/>
      <c r="F14" s="55"/>
      <c r="G14" s="858"/>
      <c r="H14" s="443"/>
      <c r="I14" s="443"/>
      <c r="J14" s="447"/>
      <c r="K14" s="443"/>
    </row>
    <row r="15" spans="1:12" s="104" customFormat="1" x14ac:dyDescent="0.25">
      <c r="A15" s="46" t="s">
        <v>22</v>
      </c>
      <c r="B15" s="839">
        <f>'A- Summary Inc_Ex'!C29</f>
        <v>227000</v>
      </c>
      <c r="C15" s="837">
        <f>'A- Summary Inc_Ex'!D29</f>
        <v>37986.910000000003</v>
      </c>
      <c r="D15" s="838">
        <f>'A- Summary Inc_Ex'!E29</f>
        <v>262500</v>
      </c>
      <c r="E15" s="839">
        <f>'A- Summary Inc_Ex'!F29</f>
        <v>18250</v>
      </c>
      <c r="F15" s="839">
        <f>'A- Summary Inc_Ex'!G29</f>
        <v>23131</v>
      </c>
      <c r="G15" s="858">
        <f>'A- Summary Inc_Ex'!H29</f>
        <v>8.8118095238095231E-2</v>
      </c>
      <c r="H15" s="446">
        <f>'A- Summary Inc_Ex'!O29</f>
        <v>299500</v>
      </c>
      <c r="I15" s="446">
        <f>H15-D15</f>
        <v>37000</v>
      </c>
      <c r="J15" s="447">
        <f>(H15-D15)/D15</f>
        <v>0.14095238095238094</v>
      </c>
      <c r="K15" s="446">
        <f>'A- Summary Inc_Ex'!S29</f>
        <v>291000</v>
      </c>
    </row>
    <row r="16" spans="1:12" s="104" customFormat="1" x14ac:dyDescent="0.25">
      <c r="A16" s="45"/>
      <c r="B16" s="839"/>
      <c r="C16" s="857"/>
      <c r="D16" s="835"/>
      <c r="E16" s="55"/>
      <c r="F16" s="55"/>
      <c r="G16" s="858"/>
      <c r="H16" s="443"/>
      <c r="I16" s="443"/>
      <c r="J16" s="447"/>
      <c r="K16" s="443"/>
    </row>
    <row r="17" spans="1:11" s="104" customFormat="1" x14ac:dyDescent="0.25">
      <c r="A17" s="47" t="s">
        <v>23</v>
      </c>
      <c r="B17" s="839">
        <f>'A- Summary Inc_Ex'!C30</f>
        <v>526320</v>
      </c>
      <c r="C17" s="837">
        <f>'A- Summary Inc_Ex'!D30</f>
        <v>465307</v>
      </c>
      <c r="D17" s="838">
        <f>'A- Summary Inc_Ex'!E30</f>
        <v>597000</v>
      </c>
      <c r="E17" s="839">
        <f>'A- Summary Inc_Ex'!F30</f>
        <v>217884.19</v>
      </c>
      <c r="F17" s="839">
        <f>'A- Summary Inc_Ex'!G30</f>
        <v>257477.54</v>
      </c>
      <c r="G17" s="858">
        <f>'A- Summary Inc_Ex'!H30</f>
        <v>0.43128566164154103</v>
      </c>
      <c r="H17" s="446">
        <f>'A- Summary Inc_Ex'!O30</f>
        <v>532000</v>
      </c>
      <c r="I17" s="446">
        <f>H17-D17</f>
        <v>-65000</v>
      </c>
      <c r="J17" s="447">
        <f>(H17-D17)/D17</f>
        <v>-0.10887772194304858</v>
      </c>
      <c r="K17" s="446">
        <f>'A- Summary Inc_Ex'!S30</f>
        <v>555000</v>
      </c>
    </row>
    <row r="18" spans="1:11" s="104" customFormat="1" x14ac:dyDescent="0.25">
      <c r="A18" s="45"/>
      <c r="B18" s="839"/>
      <c r="C18" s="857"/>
      <c r="D18" s="835"/>
      <c r="E18" s="55"/>
      <c r="F18" s="55"/>
      <c r="G18" s="858"/>
      <c r="H18" s="443"/>
      <c r="I18" s="443"/>
      <c r="J18" s="447"/>
      <c r="K18" s="443"/>
    </row>
    <row r="19" spans="1:11" s="104" customFormat="1" x14ac:dyDescent="0.25">
      <c r="A19" s="48" t="s">
        <v>26</v>
      </c>
      <c r="B19" s="839">
        <f>'A- Summary Inc_Ex'!C33</f>
        <v>18000</v>
      </c>
      <c r="C19" s="837">
        <f>'A- Summary Inc_Ex'!D33</f>
        <v>8600</v>
      </c>
      <c r="D19" s="838">
        <f>'A- Summary Inc_Ex'!E33</f>
        <v>20000</v>
      </c>
      <c r="E19" s="839">
        <f>'A- Summary Inc_Ex'!F33</f>
        <v>6600</v>
      </c>
      <c r="F19" s="839">
        <f>'A- Summary Inc_Ex'!G33</f>
        <v>7695</v>
      </c>
      <c r="G19" s="859">
        <f>'A- Summary Inc_Ex'!H33</f>
        <v>0.38474999999999998</v>
      </c>
      <c r="H19" s="446">
        <f>'A- Summary Inc_Ex'!O33</f>
        <v>20000</v>
      </c>
      <c r="I19" s="446">
        <f>H19-D19</f>
        <v>0</v>
      </c>
      <c r="J19" s="447">
        <f>H19-D19</f>
        <v>0</v>
      </c>
      <c r="K19" s="446">
        <f>'A- Summary Inc_Ex'!S33</f>
        <v>18000</v>
      </c>
    </row>
    <row r="20" spans="1:11" s="104" customFormat="1" ht="14.4" thickBot="1" x14ac:dyDescent="0.3">
      <c r="A20" s="841"/>
      <c r="B20" s="842"/>
      <c r="C20" s="857"/>
      <c r="D20" s="835"/>
      <c r="E20" s="55"/>
      <c r="F20" s="55"/>
      <c r="G20" s="245"/>
      <c r="H20" s="443"/>
      <c r="I20" s="443"/>
      <c r="J20" s="447"/>
      <c r="K20" s="443"/>
    </row>
    <row r="21" spans="1:11" s="104" customFormat="1" ht="14.4" thickBot="1" x14ac:dyDescent="0.3">
      <c r="A21" s="844" t="s">
        <v>28</v>
      </c>
      <c r="B21" s="845">
        <f>'A- Summary Inc_Ex'!C35</f>
        <v>1053820</v>
      </c>
      <c r="C21" s="860">
        <f>'A- Summary Inc_Ex'!D35</f>
        <v>765234.78</v>
      </c>
      <c r="D21" s="847">
        <f>'A- Summary Inc_Ex'!E35</f>
        <v>1133500</v>
      </c>
      <c r="E21" s="845">
        <f>'A- Summary Inc_Ex'!F35</f>
        <v>359230.7</v>
      </c>
      <c r="F21" s="845">
        <f>'A- Summary Inc_Ex'!G35</f>
        <v>414315.26</v>
      </c>
      <c r="G21" s="848">
        <f>'A- Summary Inc_Ex'!H35</f>
        <v>0.36551853550948393</v>
      </c>
      <c r="H21" s="849">
        <f>H19+H17+H15+H13</f>
        <v>1119600</v>
      </c>
      <c r="I21" s="849">
        <f>H21-D21</f>
        <v>-13900</v>
      </c>
      <c r="J21" s="850">
        <f>(H21-D21)/D21</f>
        <v>-1.2262902514336127E-2</v>
      </c>
      <c r="K21" s="849">
        <f>K19+K17+K15+K13</f>
        <v>1129500</v>
      </c>
    </row>
    <row r="22" spans="1:11" s="104" customFormat="1" ht="14.4" thickBot="1" x14ac:dyDescent="0.3">
      <c r="A22" s="841"/>
      <c r="B22" s="842"/>
      <c r="D22" s="861"/>
      <c r="G22" s="862"/>
      <c r="H22" s="855"/>
      <c r="I22" s="849"/>
      <c r="J22" s="447"/>
      <c r="K22" s="855"/>
    </row>
    <row r="23" spans="1:11" s="104" customFormat="1" ht="14.4" thickBot="1" x14ac:dyDescent="0.3">
      <c r="A23" s="80" t="s">
        <v>205</v>
      </c>
      <c r="B23" s="863">
        <f>'A- Summary Inc_Ex'!C42</f>
        <v>576938.46000000008</v>
      </c>
      <c r="C23" s="864">
        <f>'A- Summary Inc_Ex'!D42</f>
        <v>551461.45000000007</v>
      </c>
      <c r="D23" s="865">
        <f>'A- Summary Inc_Ex'!E42</f>
        <v>611439.9</v>
      </c>
      <c r="E23" s="863">
        <f>'A- Summary Inc_Ex'!F42</f>
        <v>277604.26</v>
      </c>
      <c r="F23" s="863">
        <f>'A- Summary Inc_Ex'!G42</f>
        <v>273371.34000000003</v>
      </c>
      <c r="G23" s="245">
        <f>'A- Summary Inc_Ex'!H42</f>
        <v>0.44709437509720906</v>
      </c>
      <c r="H23" s="866">
        <f>'A- Summary Inc_Ex'!O42</f>
        <v>611439.9</v>
      </c>
      <c r="I23" s="866">
        <f t="shared" ref="I23:I34" si="0">H23-D23</f>
        <v>0</v>
      </c>
      <c r="J23" s="447">
        <f>(H23-D23)/D23</f>
        <v>0</v>
      </c>
      <c r="K23" s="866">
        <f>'A- Summary Inc_Ex'!S42</f>
        <v>715370</v>
      </c>
    </row>
    <row r="24" spans="1:11" s="104" customFormat="1" ht="14.4" thickBot="1" x14ac:dyDescent="0.3">
      <c r="A24" s="81"/>
      <c r="B24" s="867"/>
      <c r="C24" s="857"/>
      <c r="D24" s="835"/>
      <c r="E24" s="55"/>
      <c r="F24" s="55"/>
      <c r="G24" s="868"/>
      <c r="H24" s="443"/>
      <c r="I24" s="446"/>
      <c r="J24" s="447"/>
      <c r="K24" s="443"/>
    </row>
    <row r="25" spans="1:11" s="104" customFormat="1" ht="14.4" thickBot="1" x14ac:dyDescent="0.3">
      <c r="A25" s="82" t="s">
        <v>206</v>
      </c>
      <c r="B25" s="867">
        <f>'A- Summary Inc_Ex'!C51</f>
        <v>131884</v>
      </c>
      <c r="C25" s="869">
        <f>'A- Summary Inc_Ex'!D51</f>
        <v>158843.16999999998</v>
      </c>
      <c r="D25" s="870">
        <f>'A- Summary Inc_Ex'!E51</f>
        <v>188850</v>
      </c>
      <c r="E25" s="867">
        <f>'A- Summary Inc_Ex'!F51</f>
        <v>87003.909999999989</v>
      </c>
      <c r="F25" s="867">
        <f>'A- Summary Inc_Ex'!G51</f>
        <v>67541.67</v>
      </c>
      <c r="G25" s="868">
        <f>'A- Summary Inc_Ex'!H51</f>
        <v>0.35764718030182685</v>
      </c>
      <c r="H25" s="446">
        <f>'A- Summary Inc_Ex'!O51</f>
        <v>196850</v>
      </c>
      <c r="I25" s="446">
        <f t="shared" si="0"/>
        <v>8000</v>
      </c>
      <c r="J25" s="447">
        <f>(H25-D25)/D25</f>
        <v>4.2361662695260788E-2</v>
      </c>
      <c r="K25" s="446">
        <f>'A- Summary Inc_Ex'!S51</f>
        <v>214500</v>
      </c>
    </row>
    <row r="26" spans="1:11" s="104" customFormat="1" ht="14.4" thickBot="1" x14ac:dyDescent="0.3">
      <c r="A26" s="81"/>
      <c r="B26" s="867"/>
      <c r="C26" s="857"/>
      <c r="D26" s="835"/>
      <c r="E26" s="55"/>
      <c r="F26" s="55"/>
      <c r="G26" s="868"/>
      <c r="H26" s="443"/>
      <c r="I26" s="446"/>
      <c r="J26" s="447"/>
      <c r="K26" s="443"/>
    </row>
    <row r="27" spans="1:11" s="104" customFormat="1" ht="14.4" thickBot="1" x14ac:dyDescent="0.3">
      <c r="A27" s="82" t="s">
        <v>207</v>
      </c>
      <c r="B27" s="867">
        <f>'A- Summary Inc_Ex'!C57</f>
        <v>124974</v>
      </c>
      <c r="C27" s="869">
        <f>'A- Summary Inc_Ex'!D57</f>
        <v>134597.82</v>
      </c>
      <c r="D27" s="870">
        <f>'A- Summary Inc_Ex'!E57</f>
        <v>131961.22</v>
      </c>
      <c r="E27" s="867">
        <f>'A- Summary Inc_Ex'!F57</f>
        <v>68458.98</v>
      </c>
      <c r="F27" s="867">
        <f>'A- Summary Inc_Ex'!G57</f>
        <v>61595.900000000009</v>
      </c>
      <c r="G27" s="868">
        <f>'A- Summary Inc_Ex'!H57</f>
        <v>0.46677273823324766</v>
      </c>
      <c r="H27" s="446">
        <f>'A- Summary Inc_Ex'!O57</f>
        <v>133961.22</v>
      </c>
      <c r="I27" s="446">
        <f t="shared" si="0"/>
        <v>2000</v>
      </c>
      <c r="J27" s="447">
        <f>(H27-D27)/D27</f>
        <v>1.5155967791143489E-2</v>
      </c>
      <c r="K27" s="446">
        <f>'A- Summary Inc_Ex'!S57</f>
        <v>138200</v>
      </c>
    </row>
    <row r="28" spans="1:11" s="104" customFormat="1" ht="14.4" thickBot="1" x14ac:dyDescent="0.3">
      <c r="A28" s="81"/>
      <c r="B28" s="867"/>
      <c r="C28" s="857"/>
      <c r="D28" s="835"/>
      <c r="E28" s="55"/>
      <c r="F28" s="55"/>
      <c r="G28" s="868"/>
      <c r="H28" s="443"/>
      <c r="I28" s="446"/>
      <c r="J28" s="447"/>
      <c r="K28" s="443"/>
    </row>
    <row r="29" spans="1:11" s="104" customFormat="1" ht="14.4" thickBot="1" x14ac:dyDescent="0.3">
      <c r="A29" s="82" t="s">
        <v>51</v>
      </c>
      <c r="B29" s="867">
        <f>'A- Summary Inc_Ex'!C58</f>
        <v>8000</v>
      </c>
      <c r="C29" s="869">
        <f>'A- Summary Inc_Ex'!D58</f>
        <v>365056</v>
      </c>
      <c r="D29" s="870">
        <f>'A- Summary Inc_Ex'!E58</f>
        <v>8000</v>
      </c>
      <c r="E29" s="867">
        <f>'A- Summary Inc_Ex'!F58</f>
        <v>0</v>
      </c>
      <c r="F29" s="867">
        <f>'A- Summary Inc_Ex'!G58</f>
        <v>2149.79</v>
      </c>
      <c r="G29" s="245">
        <f>'A- Summary Inc_Ex'!H58</f>
        <v>0.26872374999999998</v>
      </c>
      <c r="H29" s="446">
        <v>10150</v>
      </c>
      <c r="I29" s="446">
        <f t="shared" si="0"/>
        <v>2150</v>
      </c>
      <c r="J29" s="447">
        <f>(H29-D29)/D29</f>
        <v>0.26874999999999999</v>
      </c>
      <c r="K29" s="446">
        <f>'A- Summary Inc_Ex'!S58</f>
        <v>11000</v>
      </c>
    </row>
    <row r="30" spans="1:11" s="104" customFormat="1" ht="14.4" thickBot="1" x14ac:dyDescent="0.3">
      <c r="A30" s="871"/>
      <c r="B30" s="842"/>
      <c r="C30" s="857"/>
      <c r="D30" s="835"/>
      <c r="E30" s="55"/>
      <c r="F30" s="55"/>
      <c r="G30" s="245"/>
      <c r="H30" s="443"/>
      <c r="I30" s="454"/>
      <c r="J30" s="447"/>
      <c r="K30" s="443"/>
    </row>
    <row r="31" spans="1:11" s="104" customFormat="1" ht="14.4" thickBot="1" x14ac:dyDescent="0.3">
      <c r="A31" s="844" t="s">
        <v>52</v>
      </c>
      <c r="B31" s="845">
        <f>'A- Summary Inc_Ex'!C59</f>
        <v>841796.46000000008</v>
      </c>
      <c r="C31" s="860">
        <f>'A- Summary Inc_Ex'!D59</f>
        <v>1209958.4400000002</v>
      </c>
      <c r="D31" s="847">
        <f>'A- Summary Inc_Ex'!E59</f>
        <v>940251.12</v>
      </c>
      <c r="E31" s="845">
        <f>'A- Summary Inc_Ex'!F59</f>
        <v>433067.14999999997</v>
      </c>
      <c r="F31" s="845">
        <f>'A- Summary Inc_Ex'!G59</f>
        <v>404658.7</v>
      </c>
      <c r="G31" s="872">
        <f>'A- Summary Inc_Ex'!H59</f>
        <v>0.43037300503295334</v>
      </c>
      <c r="H31" s="849">
        <f>H29+H27+H25+H23</f>
        <v>952401.12</v>
      </c>
      <c r="I31" s="873">
        <f t="shared" si="0"/>
        <v>12150</v>
      </c>
      <c r="J31" s="850">
        <f>(H31-D31)/D31</f>
        <v>1.2922079795023271E-2</v>
      </c>
      <c r="K31" s="849">
        <f>K29+K27+K25+K23</f>
        <v>1079070</v>
      </c>
    </row>
    <row r="32" spans="1:11" s="104" customFormat="1" ht="14.4" thickBot="1" x14ac:dyDescent="0.3">
      <c r="A32" s="874"/>
      <c r="B32" s="842"/>
      <c r="C32" s="875"/>
      <c r="D32" s="159"/>
      <c r="G32" s="876"/>
      <c r="H32" s="826"/>
      <c r="I32" s="849"/>
      <c r="J32" s="447"/>
      <c r="K32" s="826"/>
    </row>
    <row r="33" spans="1:11" s="104" customFormat="1" ht="14.4" thickBot="1" x14ac:dyDescent="0.3">
      <c r="A33" s="877" t="s">
        <v>53</v>
      </c>
      <c r="B33" s="878">
        <f>'A- Summary Inc_Ex'!C61</f>
        <v>1918361.6176500001</v>
      </c>
      <c r="C33" s="879">
        <f>'A- Summary Inc_Ex'!D61</f>
        <v>2299700.2800000003</v>
      </c>
      <c r="D33" s="880">
        <f>'A- Summary Inc_Ex'!E61</f>
        <v>2081980</v>
      </c>
      <c r="E33" s="878">
        <f>'A- Summary Inc_Ex'!F61</f>
        <v>1651427.4500000002</v>
      </c>
      <c r="F33" s="878">
        <f>'A- Summary Inc_Ex'!G61</f>
        <v>1708974.69</v>
      </c>
      <c r="G33" s="881">
        <f>'A- Summary Inc_Ex'!H61</f>
        <v>0.82084106955878533</v>
      </c>
      <c r="H33" s="849">
        <f>H10</f>
        <v>2080480</v>
      </c>
      <c r="I33" s="849">
        <f t="shared" si="0"/>
        <v>-1500</v>
      </c>
      <c r="J33" s="850">
        <f>(H33-D33)/D33</f>
        <v>-7.2046801602320863E-4</v>
      </c>
      <c r="K33" s="849">
        <f>K10</f>
        <v>2210703</v>
      </c>
    </row>
    <row r="34" spans="1:11" s="104" customFormat="1" ht="14.4" thickBot="1" x14ac:dyDescent="0.3">
      <c r="A34" s="882" t="s">
        <v>54</v>
      </c>
      <c r="B34" s="883">
        <f>'A- Summary Inc_Ex'!C62</f>
        <v>1895616.46</v>
      </c>
      <c r="C34" s="884">
        <f>'A- Summary Inc_Ex'!D62</f>
        <v>1975193.2200000002</v>
      </c>
      <c r="D34" s="885">
        <f>'A- Summary Inc_Ex'!E62</f>
        <v>2073751.12</v>
      </c>
      <c r="E34" s="883">
        <f>'A- Summary Inc_Ex'!F62</f>
        <v>792297.85</v>
      </c>
      <c r="F34" s="883">
        <f>'A- Summary Inc_Ex'!G62</f>
        <v>818973.96</v>
      </c>
      <c r="G34" s="886">
        <f>'A- Summary Inc_Ex'!H62</f>
        <v>0.3949239386064804</v>
      </c>
      <c r="H34" s="849">
        <f>H31+H21</f>
        <v>2072001.12</v>
      </c>
      <c r="I34" s="849">
        <f t="shared" si="0"/>
        <v>-1750</v>
      </c>
      <c r="J34" s="850">
        <f>(H34-D34)/D34</f>
        <v>-8.4388140077291431E-4</v>
      </c>
      <c r="K34" s="849">
        <f>K31+K21</f>
        <v>2208570</v>
      </c>
    </row>
    <row r="35" spans="1:11" s="104" customFormat="1" ht="7.2" customHeight="1" x14ac:dyDescent="0.25">
      <c r="A35" s="109"/>
      <c r="B35" s="887"/>
      <c r="C35" s="875"/>
      <c r="E35" s="55"/>
      <c r="F35" s="55"/>
      <c r="G35" s="245"/>
      <c r="H35" s="443"/>
      <c r="I35" s="443"/>
      <c r="J35" s="447"/>
      <c r="K35" s="443"/>
    </row>
    <row r="36" spans="1:11" s="104" customFormat="1" x14ac:dyDescent="0.25">
      <c r="A36" s="50" t="s">
        <v>56</v>
      </c>
      <c r="B36" s="839">
        <f>'A- Summary Inc_Ex'!C64</f>
        <v>0</v>
      </c>
      <c r="C36" s="888">
        <f>'A- Summary Inc_Ex'!D64</f>
        <v>0</v>
      </c>
      <c r="D36" s="889">
        <f>'A- Summary Inc_Ex'!E64</f>
        <v>0</v>
      </c>
      <c r="E36" s="839">
        <f>'A- Summary Inc_Ex'!F64</f>
        <v>0</v>
      </c>
      <c r="F36" s="839">
        <f>'A- Summary Inc_Ex'!G64</f>
        <v>0</v>
      </c>
      <c r="G36" s="868"/>
      <c r="H36" s="443"/>
      <c r="I36" s="443"/>
      <c r="J36" s="447"/>
      <c r="K36" s="443"/>
    </row>
    <row r="37" spans="1:11" s="104" customFormat="1" ht="5.25" customHeight="1" x14ac:dyDescent="0.25">
      <c r="A37" s="45"/>
      <c r="B37" s="839"/>
      <c r="C37" s="875"/>
      <c r="E37" s="55"/>
      <c r="F37" s="55"/>
      <c r="G37" s="868"/>
      <c r="H37" s="443"/>
      <c r="I37" s="443"/>
      <c r="J37" s="447"/>
      <c r="K37" s="443"/>
    </row>
    <row r="38" spans="1:11" s="104" customFormat="1" ht="14.4" thickBot="1" x14ac:dyDescent="0.3">
      <c r="A38" s="108" t="s">
        <v>57</v>
      </c>
      <c r="B38" s="842">
        <f>'A- Summary Inc_Ex'!C65</f>
        <v>0</v>
      </c>
      <c r="C38" s="890">
        <f>'A- Summary Inc_Ex'!D65</f>
        <v>0</v>
      </c>
      <c r="D38" s="891">
        <f>'A- Summary Inc_Ex'!E65</f>
        <v>0</v>
      </c>
      <c r="E38" s="842">
        <f>'A- Summary Inc_Ex'!F65</f>
        <v>0</v>
      </c>
      <c r="F38" s="842">
        <f>'A- Summary Inc_Ex'!G65</f>
        <v>0</v>
      </c>
      <c r="G38" s="245"/>
      <c r="H38" s="443"/>
      <c r="I38" s="443"/>
      <c r="J38" s="447"/>
      <c r="K38" s="443"/>
    </row>
    <row r="39" spans="1:11" s="104" customFormat="1" ht="14.4" thickBot="1" x14ac:dyDescent="0.3">
      <c r="A39" s="892" t="s">
        <v>58</v>
      </c>
      <c r="B39" s="845">
        <f>'A- Summary Inc_Ex'!C66</f>
        <v>22745.157650000183</v>
      </c>
      <c r="C39" s="860">
        <f>'A- Summary Inc_Ex'!D66</f>
        <v>324507.06000000006</v>
      </c>
      <c r="D39" s="845">
        <f>'A- Summary Inc_Ex'!E66</f>
        <v>8228.8799999998882</v>
      </c>
      <c r="E39" s="845">
        <f>'A- Summary Inc_Ex'!F66</f>
        <v>859129.60000000021</v>
      </c>
      <c r="F39" s="845">
        <f>'A- Summary Inc_Ex'!G66</f>
        <v>890000.73</v>
      </c>
      <c r="G39" s="872"/>
      <c r="H39" s="849">
        <f>H33-H34</f>
        <v>8478.8799999998882</v>
      </c>
      <c r="I39" s="849"/>
      <c r="J39" s="850"/>
      <c r="K39" s="849">
        <f>K33-K34</f>
        <v>2133</v>
      </c>
    </row>
    <row r="40" spans="1:11" s="104" customFormat="1" ht="0.6" customHeight="1" x14ac:dyDescent="0.25">
      <c r="A40" s="893"/>
      <c r="B40" s="894"/>
      <c r="C40" s="875"/>
      <c r="E40" s="55"/>
      <c r="F40" s="55"/>
      <c r="G40" s="245"/>
      <c r="H40" s="443"/>
      <c r="J40" s="259"/>
    </row>
    <row r="41" spans="1:11" s="104" customFormat="1" ht="14.4" hidden="1" thickBot="1" x14ac:dyDescent="0.3">
      <c r="A41" s="164" t="s">
        <v>208</v>
      </c>
      <c r="B41" s="895"/>
      <c r="C41" s="896"/>
      <c r="D41" s="166"/>
      <c r="E41" s="528"/>
      <c r="F41" s="528"/>
      <c r="G41" s="897"/>
      <c r="H41" s="855"/>
      <c r="J41" s="245"/>
    </row>
    <row r="42" spans="1:11" s="104" customFormat="1" hidden="1" x14ac:dyDescent="0.25">
      <c r="A42" s="52" t="s">
        <v>4</v>
      </c>
      <c r="B42" s="898">
        <f>B8</f>
        <v>81000</v>
      </c>
      <c r="C42" s="899">
        <f>C8</f>
        <v>67280.160000000003</v>
      </c>
      <c r="D42" s="900">
        <f>D8</f>
        <v>44000</v>
      </c>
      <c r="E42" s="898">
        <f t="shared" ref="E42:F42" si="1">E8</f>
        <v>55828.57</v>
      </c>
      <c r="F42" s="898">
        <f t="shared" si="1"/>
        <v>34235.33</v>
      </c>
      <c r="G42" s="245"/>
      <c r="H42" s="901"/>
      <c r="J42" s="245"/>
    </row>
    <row r="43" spans="1:11" s="104" customFormat="1" ht="14.4" hidden="1" thickBot="1" x14ac:dyDescent="0.3">
      <c r="A43" s="51" t="s">
        <v>209</v>
      </c>
      <c r="B43" s="902" t="e">
        <f>'A- Summary Inc_Ex'!#REF!</f>
        <v>#REF!</v>
      </c>
      <c r="C43" s="903" t="e">
        <f>'A- Summary Inc_Ex'!#REF!</f>
        <v>#REF!</v>
      </c>
      <c r="D43" s="903" t="e">
        <f>'A- Summary Inc_Ex'!#REF!</f>
        <v>#REF!</v>
      </c>
      <c r="E43" s="902" t="e">
        <f>'A- Summary Inc_Ex'!#REF!</f>
        <v>#REF!</v>
      </c>
      <c r="F43" s="902" t="e">
        <f>'A- Summary Inc_Ex'!#REF!</f>
        <v>#REF!</v>
      </c>
      <c r="G43" s="897"/>
      <c r="H43" s="855"/>
      <c r="J43" s="245"/>
    </row>
    <row r="44" spans="1:11" s="104" customFormat="1" ht="14.4" hidden="1" thickBot="1" x14ac:dyDescent="0.3">
      <c r="A44" s="271" t="s">
        <v>210</v>
      </c>
      <c r="B44" s="593" t="e">
        <f t="shared" ref="B44:E44" si="2">B42+B43</f>
        <v>#REF!</v>
      </c>
      <c r="C44" s="904" t="e">
        <f>C42+C43</f>
        <v>#REF!</v>
      </c>
      <c r="D44" s="904" t="e">
        <f>D42+D43</f>
        <v>#REF!</v>
      </c>
      <c r="E44" s="593" t="e">
        <f t="shared" si="2"/>
        <v>#REF!</v>
      </c>
      <c r="F44" s="904" t="e">
        <f>F42+F43</f>
        <v>#REF!</v>
      </c>
      <c r="G44" s="905"/>
      <c r="H44" s="906"/>
      <c r="J44" s="245"/>
    </row>
    <row r="45" spans="1:11" s="104" customFormat="1" ht="14.4" hidden="1" thickBot="1" x14ac:dyDescent="0.3">
      <c r="A45" s="104" t="s">
        <v>211</v>
      </c>
      <c r="B45" s="593"/>
      <c r="C45" s="907"/>
      <c r="D45" s="430"/>
      <c r="E45" s="430"/>
      <c r="F45" s="430"/>
      <c r="G45" s="908"/>
      <c r="H45" s="906"/>
      <c r="J45" s="245"/>
    </row>
    <row r="46" spans="1:11" s="104" customFormat="1" hidden="1" x14ac:dyDescent="0.25">
      <c r="A46" s="104" t="s">
        <v>111</v>
      </c>
      <c r="B46" s="842">
        <f>'A- Summary Inc_Ex'!C79</f>
        <v>200000</v>
      </c>
      <c r="C46" s="842">
        <f>'A- Summary Inc_Ex'!D79</f>
        <v>225203</v>
      </c>
      <c r="D46" s="842">
        <f>'A- Summary Inc_Ex'!E79</f>
        <v>160000</v>
      </c>
      <c r="E46" s="842">
        <f>'A- Summary Inc_Ex'!F79</f>
        <v>225203</v>
      </c>
      <c r="F46" s="842">
        <f>'A- Summary Inc_Ex'!G79</f>
        <v>135750</v>
      </c>
      <c r="G46" s="245"/>
      <c r="H46" s="443"/>
      <c r="J46" s="245"/>
    </row>
    <row r="47" spans="1:11" s="104" customFormat="1" hidden="1" x14ac:dyDescent="0.25">
      <c r="A47" s="43" t="s">
        <v>212</v>
      </c>
      <c r="B47" s="842">
        <f>'A- Summary Inc_Ex'!C80</f>
        <v>1090000</v>
      </c>
      <c r="C47" s="842">
        <f>'A- Summary Inc_Ex'!D80</f>
        <v>1242743.3400000001</v>
      </c>
      <c r="D47" s="842">
        <f>'A- Summary Inc_Ex'!E80</f>
        <v>995000</v>
      </c>
      <c r="E47" s="842">
        <f>'A- Summary Inc_Ex'!F80</f>
        <v>590796.64999999991</v>
      </c>
      <c r="F47" s="842">
        <f>'A- Summary Inc_Ex'!G80</f>
        <v>509561.52</v>
      </c>
      <c r="G47" s="245"/>
      <c r="H47" s="443"/>
      <c r="J47" s="245"/>
    </row>
    <row r="48" spans="1:11" s="104" customFormat="1" hidden="1" x14ac:dyDescent="0.25">
      <c r="A48" s="43" t="s">
        <v>213</v>
      </c>
      <c r="B48" s="842">
        <f>'A- Summary Inc_Ex'!C81</f>
        <v>1239000</v>
      </c>
      <c r="C48" s="842">
        <f>'A- Summary Inc_Ex'!D81</f>
        <v>1332196.3500000001</v>
      </c>
      <c r="D48" s="842">
        <f>'A- Summary Inc_Ex'!E81</f>
        <v>1094500</v>
      </c>
      <c r="E48" s="842">
        <f>'A- Summary Inc_Ex'!F81</f>
        <v>558132.65999999992</v>
      </c>
      <c r="F48" s="842">
        <f>'A- Summary Inc_Ex'!G81</f>
        <v>547179.94000000006</v>
      </c>
      <c r="G48" s="897"/>
      <c r="H48" s="443"/>
      <c r="J48" s="245"/>
    </row>
    <row r="49" spans="1:10" s="104" customFormat="1" ht="14.4" hidden="1" thickBot="1" x14ac:dyDescent="0.3">
      <c r="A49" s="909" t="s">
        <v>63</v>
      </c>
      <c r="B49" s="593">
        <f>'A- Summary Inc_Ex'!C76</f>
        <v>-149000</v>
      </c>
      <c r="C49" s="904">
        <f>'A- Summary Inc_Ex'!D82</f>
        <v>135749.99</v>
      </c>
      <c r="D49" s="593">
        <f>'A- Summary Inc_Ex'!E82</f>
        <v>60500</v>
      </c>
      <c r="E49" s="593">
        <f>'A- Summary Inc_Ex'!F82</f>
        <v>257866.99</v>
      </c>
      <c r="F49" s="593">
        <f>'A- Summary Inc_Ex'!G82</f>
        <v>98131.579999999958</v>
      </c>
      <c r="G49" s="905"/>
      <c r="H49" s="906"/>
      <c r="J49" s="245"/>
    </row>
    <row r="50" spans="1:10" s="104" customFormat="1" x14ac:dyDescent="0.25">
      <c r="J50" s="245"/>
    </row>
    <row r="51" spans="1:10" s="104" customFormat="1" x14ac:dyDescent="0.25">
      <c r="J51" s="245"/>
    </row>
    <row r="52" spans="1:10" s="104" customFormat="1" x14ac:dyDescent="0.25">
      <c r="J52" s="245"/>
    </row>
    <row r="53" spans="1:10" s="104" customFormat="1" x14ac:dyDescent="0.25">
      <c r="J53" s="245"/>
    </row>
    <row r="54" spans="1:10" s="104" customFormat="1" x14ac:dyDescent="0.25">
      <c r="J54" s="245"/>
    </row>
    <row r="55" spans="1:10" s="104" customFormat="1" x14ac:dyDescent="0.25">
      <c r="J55" s="245"/>
    </row>
    <row r="56" spans="1:10" s="104" customFormat="1" x14ac:dyDescent="0.25">
      <c r="J56" s="245"/>
    </row>
    <row r="57" spans="1:10" s="104" customFormat="1" x14ac:dyDescent="0.25">
      <c r="J57" s="245"/>
    </row>
    <row r="58" spans="1:10" s="104" customFormat="1" x14ac:dyDescent="0.25">
      <c r="J58" s="245"/>
    </row>
    <row r="59" spans="1:10" s="104" customFormat="1" x14ac:dyDescent="0.25">
      <c r="J59" s="245"/>
    </row>
    <row r="60" spans="1:10" s="104" customFormat="1" x14ac:dyDescent="0.25">
      <c r="J60" s="245"/>
    </row>
    <row r="61" spans="1:10" s="104" customFormat="1" x14ac:dyDescent="0.25">
      <c r="J61" s="245"/>
    </row>
    <row r="62" spans="1:10" s="104" customFormat="1" x14ac:dyDescent="0.25">
      <c r="J62" s="245"/>
    </row>
    <row r="63" spans="1:10" s="104" customFormat="1" x14ac:dyDescent="0.25">
      <c r="J63" s="245"/>
    </row>
    <row r="64" spans="1:10" s="104" customFormat="1" x14ac:dyDescent="0.25">
      <c r="J64" s="245"/>
    </row>
    <row r="65" spans="10:10" s="104" customFormat="1" x14ac:dyDescent="0.25">
      <c r="J65" s="245"/>
    </row>
    <row r="66" spans="10:10" s="104" customFormat="1" x14ac:dyDescent="0.25">
      <c r="J66" s="245"/>
    </row>
    <row r="67" spans="10:10" s="104" customFormat="1" x14ac:dyDescent="0.25">
      <c r="J67" s="245"/>
    </row>
    <row r="68" spans="10:10" s="104" customFormat="1" x14ac:dyDescent="0.25">
      <c r="J68" s="245"/>
    </row>
    <row r="69" spans="10:10" s="104" customFormat="1" x14ac:dyDescent="0.25">
      <c r="J69" s="245"/>
    </row>
    <row r="70" spans="10:10" s="104" customFormat="1" x14ac:dyDescent="0.25">
      <c r="J70" s="245"/>
    </row>
    <row r="71" spans="10:10" s="104" customFormat="1" x14ac:dyDescent="0.25">
      <c r="J71" s="245"/>
    </row>
    <row r="72" spans="10:10" s="104" customFormat="1" x14ac:dyDescent="0.25">
      <c r="J72" s="245"/>
    </row>
    <row r="73" spans="10:10" s="104" customFormat="1" x14ac:dyDescent="0.25">
      <c r="J73" s="245"/>
    </row>
    <row r="74" spans="10:10" s="104" customFormat="1" x14ac:dyDescent="0.25">
      <c r="J74" s="245"/>
    </row>
    <row r="75" spans="10:10" s="104" customFormat="1" x14ac:dyDescent="0.25">
      <c r="J75" s="245"/>
    </row>
    <row r="76" spans="10:10" s="104" customFormat="1" x14ac:dyDescent="0.25">
      <c r="J76" s="245"/>
    </row>
    <row r="77" spans="10:10" s="104" customFormat="1" x14ac:dyDescent="0.25">
      <c r="J77" s="245"/>
    </row>
    <row r="78" spans="10:10" s="104" customFormat="1" x14ac:dyDescent="0.25">
      <c r="J78" s="245"/>
    </row>
    <row r="79" spans="10:10" s="104" customFormat="1" x14ac:dyDescent="0.25">
      <c r="J79" s="245"/>
    </row>
    <row r="80" spans="10:10" s="104" customFormat="1" x14ac:dyDescent="0.25">
      <c r="J80" s="245"/>
    </row>
    <row r="81" spans="10:10" s="104" customFormat="1" x14ac:dyDescent="0.25">
      <c r="J81" s="245"/>
    </row>
    <row r="82" spans="10:10" s="104" customFormat="1" x14ac:dyDescent="0.25">
      <c r="J82" s="245"/>
    </row>
    <row r="83" spans="10:10" s="104" customFormat="1" x14ac:dyDescent="0.25">
      <c r="J83" s="245"/>
    </row>
    <row r="84" spans="10:10" s="104" customFormat="1" x14ac:dyDescent="0.25">
      <c r="J84" s="245"/>
    </row>
    <row r="85" spans="10:10" s="104" customFormat="1" x14ac:dyDescent="0.25">
      <c r="J85" s="245"/>
    </row>
    <row r="86" spans="10:10" s="104" customFormat="1" x14ac:dyDescent="0.25">
      <c r="J86" s="245"/>
    </row>
    <row r="87" spans="10:10" s="104" customFormat="1" x14ac:dyDescent="0.25">
      <c r="J87" s="245"/>
    </row>
    <row r="88" spans="10:10" s="104" customFormat="1" x14ac:dyDescent="0.25">
      <c r="J88" s="245"/>
    </row>
    <row r="89" spans="10:10" s="104" customFormat="1" x14ac:dyDescent="0.25">
      <c r="J89" s="245"/>
    </row>
    <row r="90" spans="10:10" s="104" customFormat="1" x14ac:dyDescent="0.25">
      <c r="J90" s="245"/>
    </row>
    <row r="91" spans="10:10" s="104" customFormat="1" x14ac:dyDescent="0.25">
      <c r="J91" s="245"/>
    </row>
    <row r="92" spans="10:10" s="104" customFormat="1" x14ac:dyDescent="0.25">
      <c r="J92" s="245"/>
    </row>
    <row r="93" spans="10:10" s="104" customFormat="1" x14ac:dyDescent="0.25">
      <c r="J93" s="245"/>
    </row>
    <row r="94" spans="10:10" s="104" customFormat="1" x14ac:dyDescent="0.25">
      <c r="J94" s="245"/>
    </row>
    <row r="95" spans="10:10" s="104" customFormat="1" x14ac:dyDescent="0.25">
      <c r="J95" s="245"/>
    </row>
    <row r="96" spans="10:10" s="104" customFormat="1" x14ac:dyDescent="0.25">
      <c r="J96" s="245"/>
    </row>
    <row r="97" spans="10:10" s="104" customFormat="1" x14ac:dyDescent="0.25">
      <c r="J97" s="245"/>
    </row>
    <row r="98" spans="10:10" s="104" customFormat="1" x14ac:dyDescent="0.25">
      <c r="J98" s="245"/>
    </row>
    <row r="99" spans="10:10" s="104" customFormat="1" x14ac:dyDescent="0.25">
      <c r="J99" s="245"/>
    </row>
    <row r="100" spans="10:10" s="104" customFormat="1" x14ac:dyDescent="0.25">
      <c r="J100" s="245"/>
    </row>
    <row r="101" spans="10:10" s="104" customFormat="1" x14ac:dyDescent="0.25">
      <c r="J101" s="245"/>
    </row>
    <row r="102" spans="10:10" s="104" customFormat="1" x14ac:dyDescent="0.25">
      <c r="J102" s="245"/>
    </row>
    <row r="103" spans="10:10" s="104" customFormat="1" x14ac:dyDescent="0.25">
      <c r="J103" s="245"/>
    </row>
    <row r="104" spans="10:10" s="104" customFormat="1" x14ac:dyDescent="0.25">
      <c r="J104" s="245"/>
    </row>
    <row r="105" spans="10:10" s="104" customFormat="1" x14ac:dyDescent="0.25">
      <c r="J105" s="245"/>
    </row>
    <row r="106" spans="10:10" s="104" customFormat="1" x14ac:dyDescent="0.25">
      <c r="J106" s="245"/>
    </row>
    <row r="107" spans="10:10" s="104" customFormat="1" x14ac:dyDescent="0.25">
      <c r="J107" s="245"/>
    </row>
    <row r="108" spans="10:10" s="104" customFormat="1" x14ac:dyDescent="0.25">
      <c r="J108" s="245"/>
    </row>
    <row r="109" spans="10:10" s="104" customFormat="1" x14ac:dyDescent="0.25">
      <c r="J109" s="245"/>
    </row>
    <row r="110" spans="10:10" s="104" customFormat="1" x14ac:dyDescent="0.25">
      <c r="J110" s="245"/>
    </row>
    <row r="111" spans="10:10" s="104" customFormat="1" x14ac:dyDescent="0.25">
      <c r="J111" s="245"/>
    </row>
    <row r="112" spans="10:10" s="104" customFormat="1" x14ac:dyDescent="0.25">
      <c r="J112" s="245"/>
    </row>
    <row r="113" spans="10:10" s="104" customFormat="1" x14ac:dyDescent="0.25">
      <c r="J113" s="245"/>
    </row>
    <row r="114" spans="10:10" s="104" customFormat="1" x14ac:dyDescent="0.25">
      <c r="J114" s="245"/>
    </row>
    <row r="115" spans="10:10" s="104" customFormat="1" x14ac:dyDescent="0.25">
      <c r="J115" s="245"/>
    </row>
    <row r="116" spans="10:10" s="104" customFormat="1" x14ac:dyDescent="0.25">
      <c r="J116" s="245"/>
    </row>
    <row r="117" spans="10:10" s="104" customFormat="1" x14ac:dyDescent="0.25">
      <c r="J117" s="245"/>
    </row>
    <row r="118" spans="10:10" s="104" customFormat="1" x14ac:dyDescent="0.25">
      <c r="J118" s="245"/>
    </row>
    <row r="119" spans="10:10" s="104" customFormat="1" x14ac:dyDescent="0.25">
      <c r="J119" s="245"/>
    </row>
    <row r="120" spans="10:10" s="104" customFormat="1" x14ac:dyDescent="0.25">
      <c r="J120" s="245"/>
    </row>
    <row r="121" spans="10:10" s="104" customFormat="1" x14ac:dyDescent="0.25">
      <c r="J121" s="245"/>
    </row>
    <row r="122" spans="10:10" s="104" customFormat="1" x14ac:dyDescent="0.25">
      <c r="J122" s="245"/>
    </row>
    <row r="123" spans="10:10" s="104" customFormat="1" x14ac:dyDescent="0.25">
      <c r="J123" s="245"/>
    </row>
    <row r="124" spans="10:10" s="104" customFormat="1" x14ac:dyDescent="0.25">
      <c r="J124" s="245"/>
    </row>
    <row r="125" spans="10:10" s="104" customFormat="1" x14ac:dyDescent="0.25">
      <c r="J125" s="245"/>
    </row>
    <row r="126" spans="10:10" s="104" customFormat="1" x14ac:dyDescent="0.25">
      <c r="J126" s="245"/>
    </row>
    <row r="127" spans="10:10" s="104" customFormat="1" x14ac:dyDescent="0.25">
      <c r="J127" s="245"/>
    </row>
    <row r="128" spans="10:10" s="104" customFormat="1" x14ac:dyDescent="0.25">
      <c r="J128" s="245"/>
    </row>
    <row r="129" spans="10:10" s="104" customFormat="1" x14ac:dyDescent="0.25">
      <c r="J129" s="245"/>
    </row>
    <row r="130" spans="10:10" s="104" customFormat="1" x14ac:dyDescent="0.25">
      <c r="J130" s="245"/>
    </row>
    <row r="131" spans="10:10" s="104" customFormat="1" x14ac:dyDescent="0.25">
      <c r="J131" s="245"/>
    </row>
    <row r="132" spans="10:10" s="104" customFormat="1" x14ac:dyDescent="0.25">
      <c r="J132" s="245"/>
    </row>
    <row r="133" spans="10:10" s="104" customFormat="1" x14ac:dyDescent="0.25">
      <c r="J133" s="245"/>
    </row>
    <row r="134" spans="10:10" s="104" customFormat="1" x14ac:dyDescent="0.25">
      <c r="J134" s="245"/>
    </row>
    <row r="135" spans="10:10" s="104" customFormat="1" x14ac:dyDescent="0.25">
      <c r="J135" s="245"/>
    </row>
    <row r="136" spans="10:10" s="104" customFormat="1" x14ac:dyDescent="0.25">
      <c r="J136" s="245"/>
    </row>
    <row r="137" spans="10:10" s="104" customFormat="1" x14ac:dyDescent="0.25">
      <c r="J137" s="245"/>
    </row>
    <row r="138" spans="10:10" s="104" customFormat="1" x14ac:dyDescent="0.25">
      <c r="J138" s="245"/>
    </row>
    <row r="139" spans="10:10" s="104" customFormat="1" x14ac:dyDescent="0.25">
      <c r="J139" s="245"/>
    </row>
    <row r="140" spans="10:10" s="104" customFormat="1" x14ac:dyDescent="0.25">
      <c r="J140" s="245"/>
    </row>
    <row r="141" spans="10:10" s="104" customFormat="1" x14ac:dyDescent="0.25">
      <c r="J141" s="245"/>
    </row>
    <row r="142" spans="10:10" s="104" customFormat="1" x14ac:dyDescent="0.25">
      <c r="J142" s="245"/>
    </row>
    <row r="143" spans="10:10" s="104" customFormat="1" x14ac:dyDescent="0.25">
      <c r="J143" s="245"/>
    </row>
    <row r="144" spans="10:10" s="104" customFormat="1" x14ac:dyDescent="0.25">
      <c r="J144" s="245"/>
    </row>
    <row r="145" spans="10:10" s="104" customFormat="1" x14ac:dyDescent="0.25">
      <c r="J145" s="245"/>
    </row>
    <row r="146" spans="10:10" s="104" customFormat="1" x14ac:dyDescent="0.25">
      <c r="J146" s="245"/>
    </row>
    <row r="147" spans="10:10" s="104" customFormat="1" x14ac:dyDescent="0.25">
      <c r="J147" s="245"/>
    </row>
    <row r="148" spans="10:10" s="104" customFormat="1" x14ac:dyDescent="0.25">
      <c r="J148" s="245"/>
    </row>
    <row r="149" spans="10:10" s="104" customFormat="1" x14ac:dyDescent="0.25">
      <c r="J149" s="245"/>
    </row>
    <row r="150" spans="10:10" s="104" customFormat="1" x14ac:dyDescent="0.25">
      <c r="J150" s="245"/>
    </row>
    <row r="151" spans="10:10" s="104" customFormat="1" x14ac:dyDescent="0.25">
      <c r="J151" s="245"/>
    </row>
    <row r="152" spans="10:10" s="104" customFormat="1" x14ac:dyDescent="0.25">
      <c r="J152" s="245"/>
    </row>
    <row r="153" spans="10:10" s="104" customFormat="1" x14ac:dyDescent="0.25">
      <c r="J153" s="245"/>
    </row>
    <row r="154" spans="10:10" s="104" customFormat="1" x14ac:dyDescent="0.25">
      <c r="J154" s="245"/>
    </row>
    <row r="155" spans="10:10" s="104" customFormat="1" x14ac:dyDescent="0.25">
      <c r="J155" s="245"/>
    </row>
    <row r="156" spans="10:10" s="104" customFormat="1" x14ac:dyDescent="0.25">
      <c r="J156" s="245"/>
    </row>
    <row r="157" spans="10:10" s="104" customFormat="1" x14ac:dyDescent="0.25">
      <c r="J157" s="245"/>
    </row>
    <row r="158" spans="10:10" s="104" customFormat="1" x14ac:dyDescent="0.25">
      <c r="J158" s="245"/>
    </row>
    <row r="159" spans="10:10" s="104" customFormat="1" x14ac:dyDescent="0.25">
      <c r="J159" s="245"/>
    </row>
    <row r="160" spans="10:10" s="104" customFormat="1" x14ac:dyDescent="0.25">
      <c r="J160" s="245"/>
    </row>
    <row r="161" spans="10:10" s="104" customFormat="1" x14ac:dyDescent="0.25">
      <c r="J161" s="245"/>
    </row>
    <row r="162" spans="10:10" s="104" customFormat="1" x14ac:dyDescent="0.25">
      <c r="J162" s="245"/>
    </row>
    <row r="163" spans="10:10" s="104" customFormat="1" x14ac:dyDescent="0.25">
      <c r="J163" s="245"/>
    </row>
    <row r="164" spans="10:10" s="104" customFormat="1" x14ac:dyDescent="0.25">
      <c r="J164" s="245"/>
    </row>
    <row r="165" spans="10:10" s="104" customFormat="1" x14ac:dyDescent="0.25">
      <c r="J165" s="245"/>
    </row>
    <row r="166" spans="10:10" s="104" customFormat="1" x14ac:dyDescent="0.25">
      <c r="J166" s="245"/>
    </row>
    <row r="167" spans="10:10" s="104" customFormat="1" x14ac:dyDescent="0.25">
      <c r="J167" s="245"/>
    </row>
    <row r="168" spans="10:10" s="104" customFormat="1" x14ac:dyDescent="0.25">
      <c r="J168" s="245"/>
    </row>
    <row r="169" spans="10:10" s="104" customFormat="1" x14ac:dyDescent="0.25">
      <c r="J169" s="245"/>
    </row>
    <row r="170" spans="10:10" s="104" customFormat="1" x14ac:dyDescent="0.25">
      <c r="J170" s="245"/>
    </row>
    <row r="171" spans="10:10" s="104" customFormat="1" x14ac:dyDescent="0.25">
      <c r="J171" s="245"/>
    </row>
    <row r="172" spans="10:10" s="104" customFormat="1" x14ac:dyDescent="0.25">
      <c r="J172" s="245"/>
    </row>
  </sheetData>
  <mergeCells count="1">
    <mergeCell ref="A1:K1"/>
  </mergeCells>
  <pageMargins left="0.25" right="0.25" top="0.53" bottom="0.75" header="0.3" footer="0.3"/>
  <pageSetup scale="90" orientation="portrait" verticalDpi="597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4"/>
  <sheetViews>
    <sheetView zoomScale="80" zoomScaleNormal="80" workbookViewId="0">
      <selection activeCell="B3" sqref="B3"/>
    </sheetView>
  </sheetViews>
  <sheetFormatPr defaultRowHeight="14.4" x14ac:dyDescent="0.3"/>
  <cols>
    <col min="1" max="1" width="8.88671875" style="136" customWidth="1"/>
    <col min="2" max="2" width="41.88671875" style="136" customWidth="1"/>
    <col min="3" max="3" width="14" style="416" hidden="1" customWidth="1"/>
    <col min="4" max="4" width="22.88671875" style="104" customWidth="1"/>
    <col min="5" max="5" width="11.6640625" style="159" hidden="1" customWidth="1"/>
    <col min="6" max="6" width="11.44140625" style="104" hidden="1" customWidth="1"/>
    <col min="7" max="7" width="13.109375" style="104" hidden="1" customWidth="1"/>
    <col min="8" max="8" width="10.44140625" style="104" hidden="1" customWidth="1"/>
    <col min="9" max="9" width="26.6640625" style="163" hidden="1" customWidth="1"/>
    <col min="10" max="10" width="26.6640625" style="136" hidden="1" customWidth="1"/>
    <col min="11" max="11" width="12.6640625" style="136" hidden="1" customWidth="1"/>
    <col min="12" max="12" width="15.5546875" style="136" hidden="1" customWidth="1"/>
    <col min="13" max="13" width="13" style="136" hidden="1" customWidth="1"/>
    <col min="14" max="14" width="15.109375" style="136" hidden="1" customWidth="1"/>
    <col min="15" max="15" width="13.77734375" style="104" customWidth="1"/>
    <col min="16" max="16" width="13.21875" style="104" hidden="1" customWidth="1"/>
    <col min="17" max="17" width="13.77734375" style="104" hidden="1" customWidth="1"/>
    <col min="18" max="18" width="18.109375" style="163" hidden="1" customWidth="1"/>
    <col min="19" max="19" width="13.77734375" style="104" customWidth="1"/>
    <col min="20" max="20" width="24.21875" style="163" hidden="1" customWidth="1"/>
    <col min="21" max="21" width="23.88671875" style="136" customWidth="1"/>
    <col min="22" max="23" width="8.88671875" style="136"/>
    <col min="24" max="24" width="17.77734375" style="136" customWidth="1"/>
    <col min="25" max="25" width="24" style="136" customWidth="1"/>
    <col min="26" max="16384" width="8.88671875" style="136"/>
  </cols>
  <sheetData>
    <row r="1" spans="1:24" ht="46.5" customHeight="1" x14ac:dyDescent="0.3">
      <c r="A1" s="119" t="s">
        <v>1036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1"/>
    </row>
    <row r="2" spans="1:24" ht="15" thickBot="1" x14ac:dyDescent="0.35">
      <c r="A2" s="137"/>
      <c r="B2" s="138" t="s">
        <v>1040</v>
      </c>
      <c r="C2" s="55"/>
      <c r="D2" s="139"/>
      <c r="E2" s="140"/>
      <c r="F2" s="139"/>
      <c r="G2" s="139"/>
      <c r="H2" s="139"/>
      <c r="I2" s="141"/>
      <c r="O2" s="142"/>
      <c r="P2" s="143"/>
      <c r="Q2" s="139"/>
      <c r="R2" s="59"/>
      <c r="S2" s="142"/>
      <c r="T2" s="144"/>
    </row>
    <row r="3" spans="1:24" ht="72" customHeight="1" thickBot="1" x14ac:dyDescent="0.4">
      <c r="A3" s="145"/>
      <c r="B3" s="146" t="s">
        <v>64</v>
      </c>
      <c r="C3" s="147" t="s">
        <v>559</v>
      </c>
      <c r="D3" s="147" t="s">
        <v>1012</v>
      </c>
      <c r="E3" s="148" t="s">
        <v>578</v>
      </c>
      <c r="F3" s="147" t="s">
        <v>951</v>
      </c>
      <c r="G3" s="147" t="s">
        <v>950</v>
      </c>
      <c r="H3" s="147" t="s">
        <v>954</v>
      </c>
      <c r="I3" s="149"/>
      <c r="J3" s="150"/>
      <c r="K3" s="150"/>
      <c r="L3" s="150"/>
      <c r="M3" s="150"/>
      <c r="N3" s="150"/>
      <c r="O3" s="151" t="s">
        <v>988</v>
      </c>
      <c r="P3" s="152" t="str">
        <f>'Top Line Rep'!I3</f>
        <v>Amount of Change</v>
      </c>
      <c r="Q3" s="153" t="str">
        <f>'Top Line Rep'!J3</f>
        <v>Percentage of change</v>
      </c>
      <c r="R3" s="154" t="s">
        <v>965</v>
      </c>
      <c r="S3" s="155" t="str">
        <f>'Top Line Rep'!K3</f>
        <v>FY 2026-2027 ADOPTED BUDGET</v>
      </c>
      <c r="T3" s="156" t="s">
        <v>216</v>
      </c>
    </row>
    <row r="4" spans="1:24" ht="15.6" x14ac:dyDescent="0.3">
      <c r="A4" s="157"/>
      <c r="B4" s="158" t="s">
        <v>0</v>
      </c>
      <c r="C4" s="104"/>
      <c r="H4" s="160"/>
      <c r="I4" s="161"/>
      <c r="O4" s="162"/>
      <c r="S4" s="162"/>
      <c r="T4" s="144"/>
    </row>
    <row r="5" spans="1:24" x14ac:dyDescent="0.3">
      <c r="A5" s="164"/>
      <c r="B5" s="165" t="s">
        <v>1</v>
      </c>
      <c r="C5" s="166"/>
      <c r="D5" s="166"/>
      <c r="E5" s="167"/>
      <c r="F5" s="166"/>
      <c r="G5" s="166"/>
      <c r="H5" s="168"/>
      <c r="I5" s="169"/>
      <c r="O5" s="170"/>
      <c r="S5" s="170"/>
      <c r="T5" s="144"/>
    </row>
    <row r="6" spans="1:24" ht="42" x14ac:dyDescent="0.3">
      <c r="A6" s="171">
        <v>1</v>
      </c>
      <c r="B6" s="70" t="s">
        <v>2</v>
      </c>
      <c r="C6" s="172">
        <f>1932275387*0.001*95/100</f>
        <v>1835661.6176500001</v>
      </c>
      <c r="D6" s="173">
        <f>SUMIFS(MapFy2024_25!D:D,MapFy2024_25!B:B,'A- Summary Inc_Ex'!B6)</f>
        <v>1864562.57</v>
      </c>
      <c r="E6" s="174">
        <v>2037980</v>
      </c>
      <c r="F6" s="175">
        <f>SUMIFS(MapFy2025_26!E:E,MapFy2025_26!B:B,'A- Summary Inc_Ex'!B6)</f>
        <v>1594310.02</v>
      </c>
      <c r="G6" s="175">
        <f>SUMIFS(MapFy2025_26!D:D,MapFy2025_26!B:B,'A- Summary Inc_Ex'!B6)</f>
        <v>1673422.64</v>
      </c>
      <c r="H6" s="176">
        <f>IF(E6=0,"",G6/E6)</f>
        <v>0.82111828379081242</v>
      </c>
      <c r="I6" s="141" t="s">
        <v>579</v>
      </c>
      <c r="O6" s="177">
        <v>2037980</v>
      </c>
      <c r="P6" s="178">
        <f>O6-E6</f>
        <v>0</v>
      </c>
      <c r="Q6" s="176">
        <f>(O6-E6)/O6</f>
        <v>0</v>
      </c>
      <c r="R6" s="141"/>
      <c r="S6" s="177">
        <v>2160703</v>
      </c>
      <c r="T6" s="144" t="s">
        <v>1014</v>
      </c>
    </row>
    <row r="7" spans="1:24" x14ac:dyDescent="0.3">
      <c r="A7" s="164">
        <v>2</v>
      </c>
      <c r="B7" s="71" t="s">
        <v>3</v>
      </c>
      <c r="C7" s="179">
        <v>1700</v>
      </c>
      <c r="D7" s="180">
        <f>SUMIFS(MapFy2024_25!D:D,MapFy2024_25!B:B,'A- Summary Inc_Ex'!B7)</f>
        <v>2801.55</v>
      </c>
      <c r="E7" s="181">
        <v>0</v>
      </c>
      <c r="F7" s="182">
        <f>SUMIFS(MapFy2025_26!E:E,MapFy2025_26!B:B,'A- Summary Inc_Ex'!B7)</f>
        <v>1288.8599999999999</v>
      </c>
      <c r="G7" s="182">
        <f>SUMIFS(MapFy2025_26!D:D,MapFy2025_26!B:B,'A- Summary Inc_Ex'!B7)</f>
        <v>1316.72</v>
      </c>
      <c r="H7" s="183" t="str">
        <f>IF(E7=0,"",G7/E7)</f>
        <v/>
      </c>
      <c r="I7" s="161"/>
      <c r="O7" s="184">
        <v>0</v>
      </c>
      <c r="P7" s="178">
        <f>O7-E7</f>
        <v>0</v>
      </c>
      <c r="Q7" s="176"/>
      <c r="R7" s="161"/>
      <c r="S7" s="184">
        <v>0</v>
      </c>
      <c r="T7" s="144"/>
    </row>
    <row r="8" spans="1:24" x14ac:dyDescent="0.3">
      <c r="A8" s="185">
        <v>3</v>
      </c>
      <c r="B8" s="186" t="s">
        <v>1</v>
      </c>
      <c r="C8" s="187">
        <f>SUM(C6:C7)</f>
        <v>1837361.6176500001</v>
      </c>
      <c r="D8" s="187">
        <f>SUM(D6:D7)</f>
        <v>1867364.12</v>
      </c>
      <c r="E8" s="188">
        <f>SUM(E6:E7)</f>
        <v>2037980</v>
      </c>
      <c r="F8" s="187">
        <f t="shared" ref="F8:G8" si="0">SUM(F6:F7)</f>
        <v>1595598.8800000001</v>
      </c>
      <c r="G8" s="187">
        <f t="shared" si="0"/>
        <v>1674739.3599999999</v>
      </c>
      <c r="H8" s="189">
        <f>IF(E8=0,"",G8/E8)</f>
        <v>0.82176437452771856</v>
      </c>
      <c r="I8" s="161"/>
      <c r="O8" s="190">
        <f>SUM(O6:O7)</f>
        <v>2037980</v>
      </c>
      <c r="P8" s="178">
        <f>O8-E8</f>
        <v>0</v>
      </c>
      <c r="Q8" s="176">
        <f t="shared" ref="Q8:Q18" si="1">(O8-E8)/O8</f>
        <v>0</v>
      </c>
      <c r="R8" s="59"/>
      <c r="S8" s="190">
        <f>SUM(S6:S7)</f>
        <v>2160703</v>
      </c>
      <c r="T8" s="191"/>
    </row>
    <row r="9" spans="1:24" x14ac:dyDescent="0.3">
      <c r="A9" s="192"/>
      <c r="B9" s="193" t="s">
        <v>4</v>
      </c>
      <c r="C9" s="172"/>
      <c r="D9" s="173"/>
      <c r="E9" s="181"/>
      <c r="F9" s="175"/>
      <c r="G9" s="175"/>
      <c r="H9" s="176"/>
      <c r="I9" s="161"/>
      <c r="O9" s="184"/>
      <c r="P9" s="178">
        <f t="shared" ref="P9:P14" si="2">O9-E9</f>
        <v>0</v>
      </c>
      <c r="Q9" s="176"/>
      <c r="R9" s="161"/>
      <c r="S9" s="184"/>
      <c r="T9" s="144"/>
    </row>
    <row r="10" spans="1:24" ht="16.5" customHeight="1" x14ac:dyDescent="0.3">
      <c r="A10" s="194">
        <v>4</v>
      </c>
      <c r="B10" s="53" t="s">
        <v>5</v>
      </c>
      <c r="C10" s="182">
        <v>50000</v>
      </c>
      <c r="D10" s="182">
        <f>SUMIFS(MapFy2024_25!D:D,MapFy2024_25!B:B,'A- Summary Inc_Ex'!B10)</f>
        <v>48575</v>
      </c>
      <c r="E10" s="195">
        <v>24000</v>
      </c>
      <c r="F10" s="180">
        <f>SUMIFS(MapFy2025_26!E:E,MapFy2025_26!B:B,'A- Summary Inc_Ex'!B10)</f>
        <v>41600</v>
      </c>
      <c r="G10" s="180">
        <f>SUMIFS(MapFy2025_26!D:D,MapFy2025_26!B:B,'A- Summary Inc_Ex'!B10)</f>
        <v>24000</v>
      </c>
      <c r="H10" s="183">
        <f>IF(E10=0,"",G10/E10)</f>
        <v>1</v>
      </c>
      <c r="I10" s="161"/>
      <c r="O10" s="196">
        <v>30000</v>
      </c>
      <c r="P10" s="197">
        <f t="shared" si="2"/>
        <v>6000</v>
      </c>
      <c r="Q10" s="176">
        <f t="shared" si="1"/>
        <v>0.2</v>
      </c>
      <c r="R10" s="161"/>
      <c r="S10" s="196">
        <v>40000</v>
      </c>
      <c r="T10" s="144"/>
      <c r="X10" s="198"/>
    </row>
    <row r="11" spans="1:24" ht="16.5" customHeight="1" x14ac:dyDescent="0.3">
      <c r="A11" s="199">
        <v>5</v>
      </c>
      <c r="B11" s="72" t="s">
        <v>6</v>
      </c>
      <c r="C11" s="200">
        <v>16000</v>
      </c>
      <c r="D11" s="200">
        <f>SUMIFS(MapFy2024_25!D:D,MapFy2024_25!B:B,'A- Summary Inc_Ex'!B11)</f>
        <v>17730.16</v>
      </c>
      <c r="E11" s="201">
        <v>10000</v>
      </c>
      <c r="F11" s="180">
        <f>SUMIFS(MapFy2025_26!E:E,MapFy2025_26!B:B,'A- Summary Inc_Ex'!B11)</f>
        <v>13253.57</v>
      </c>
      <c r="G11" s="180">
        <f>SUMIFS(MapFy2025_26!D:D,MapFy2025_26!B:B,'A- Summary Inc_Ex'!B11)</f>
        <v>7735.33</v>
      </c>
      <c r="H11" s="183">
        <f>IF(E11=0,"",G11/E11)</f>
        <v>0.77353300000000003</v>
      </c>
      <c r="I11" s="161"/>
      <c r="O11" s="202">
        <v>10000</v>
      </c>
      <c r="P11" s="197">
        <f t="shared" si="2"/>
        <v>0</v>
      </c>
      <c r="Q11" s="176">
        <f t="shared" si="1"/>
        <v>0</v>
      </c>
      <c r="R11" s="161"/>
      <c r="S11" s="202">
        <v>10000</v>
      </c>
      <c r="T11" s="144"/>
    </row>
    <row r="12" spans="1:24" ht="16.5" customHeight="1" x14ac:dyDescent="0.3">
      <c r="A12" s="199">
        <v>6</v>
      </c>
      <c r="B12" s="73" t="s">
        <v>7</v>
      </c>
      <c r="C12" s="200">
        <v>15000</v>
      </c>
      <c r="D12" s="200">
        <f>SUMIFS(MapFy2024_25!D:D,MapFy2024_25!B:B,'A- Summary Inc_Ex'!B12)</f>
        <v>975</v>
      </c>
      <c r="E12" s="201">
        <v>10000</v>
      </c>
      <c r="F12" s="180">
        <f>SUMIFS(MapFy2025_26!E:E,MapFy2025_26!B:B,'A- Summary Inc_Ex'!B12)</f>
        <v>975</v>
      </c>
      <c r="G12" s="180">
        <f>SUMIFS(MapFy2025_26!D:D,MapFy2025_26!B:B,'A- Summary Inc_Ex'!B12)</f>
        <v>2500</v>
      </c>
      <c r="H12" s="183">
        <f>IF(E12=0,"",G12/E12)</f>
        <v>0.25</v>
      </c>
      <c r="I12" s="161"/>
      <c r="O12" s="202">
        <v>2500</v>
      </c>
      <c r="P12" s="197">
        <f t="shared" si="2"/>
        <v>-7500</v>
      </c>
      <c r="Q12" s="176">
        <f t="shared" si="1"/>
        <v>-3</v>
      </c>
      <c r="R12" s="161"/>
      <c r="S12" s="202">
        <v>0</v>
      </c>
      <c r="T12" s="144"/>
    </row>
    <row r="13" spans="1:24" ht="16.5" customHeight="1" x14ac:dyDescent="0.3">
      <c r="A13" s="164">
        <v>7</v>
      </c>
      <c r="B13" s="118" t="s">
        <v>8</v>
      </c>
      <c r="C13" s="179">
        <v>0</v>
      </c>
      <c r="D13" s="180">
        <f>SUMIFS(MapFy2024_25!D:D,MapFy2024_25!B:B,'A- Summary Inc_Ex'!B13)</f>
        <v>0</v>
      </c>
      <c r="E13" s="181">
        <v>0</v>
      </c>
      <c r="F13" s="179">
        <f>SUMIFS(MapFy2025_26!E:E,MapFy2025_26!B:B,'A- Summary Inc_Ex'!B13)</f>
        <v>0</v>
      </c>
      <c r="G13" s="179">
        <f>SUMIFS(MapFy2025_26!D:D,MapFy2025_26!B:B,'A- Summary Inc_Ex'!B13)</f>
        <v>0</v>
      </c>
      <c r="H13" s="203" t="str">
        <f>IF(E13=0,"",G13/E13)</f>
        <v/>
      </c>
      <c r="I13" s="161"/>
      <c r="O13" s="184">
        <v>0</v>
      </c>
      <c r="P13" s="197">
        <f t="shared" si="2"/>
        <v>0</v>
      </c>
      <c r="Q13" s="176"/>
      <c r="R13" s="161"/>
      <c r="S13" s="184">
        <v>0</v>
      </c>
      <c r="T13" s="144"/>
    </row>
    <row r="14" spans="1:24" x14ac:dyDescent="0.3">
      <c r="A14" s="204">
        <v>8</v>
      </c>
      <c r="B14" s="205" t="s">
        <v>4</v>
      </c>
      <c r="C14" s="206">
        <f>SUM(C10:C13)</f>
        <v>81000</v>
      </c>
      <c r="D14" s="206">
        <f>SUM(D10:D13)</f>
        <v>67280.160000000003</v>
      </c>
      <c r="E14" s="207">
        <f>SUM(E10:E13)</f>
        <v>44000</v>
      </c>
      <c r="F14" s="206">
        <f t="shared" ref="F14" si="3">SUM(F10:F13)</f>
        <v>55828.57</v>
      </c>
      <c r="G14" s="206">
        <f>SUM(G10:G13)</f>
        <v>34235.33</v>
      </c>
      <c r="H14" s="208">
        <f>IF(E14=0,"",G14/E14)</f>
        <v>0.77807568181818187</v>
      </c>
      <c r="I14" s="161"/>
      <c r="O14" s="209">
        <f>SUM(O10:O13)</f>
        <v>42500</v>
      </c>
      <c r="P14" s="178">
        <f t="shared" si="2"/>
        <v>-1500</v>
      </c>
      <c r="Q14" s="176">
        <f t="shared" si="1"/>
        <v>-3.5294117647058823E-2</v>
      </c>
      <c r="R14" s="59"/>
      <c r="S14" s="209">
        <f>SUM(S10:S13)</f>
        <v>50000</v>
      </c>
      <c r="T14" s="144"/>
    </row>
    <row r="15" spans="1:24" x14ac:dyDescent="0.3">
      <c r="A15" s="210"/>
      <c r="B15" s="211"/>
      <c r="C15" s="187"/>
      <c r="D15" s="212"/>
      <c r="E15" s="213"/>
      <c r="F15" s="214"/>
      <c r="G15" s="214"/>
      <c r="H15" s="215"/>
      <c r="I15" s="161"/>
      <c r="O15" s="216"/>
      <c r="P15" s="217"/>
      <c r="Q15" s="176"/>
      <c r="R15" s="59"/>
      <c r="S15" s="216"/>
      <c r="T15" s="144"/>
    </row>
    <row r="16" spans="1:24" ht="18" x14ac:dyDescent="0.35">
      <c r="A16" s="218"/>
      <c r="B16" s="219"/>
      <c r="C16" s="220"/>
      <c r="D16" s="220"/>
      <c r="E16" s="221"/>
      <c r="F16" s="220"/>
      <c r="G16" s="220"/>
      <c r="H16" s="222"/>
      <c r="I16" s="161"/>
      <c r="O16" s="223"/>
      <c r="P16" s="178"/>
      <c r="Q16" s="176"/>
      <c r="R16" s="141"/>
      <c r="S16" s="223"/>
      <c r="T16" s="144"/>
    </row>
    <row r="17" spans="1:24" x14ac:dyDescent="0.3">
      <c r="A17" s="210"/>
      <c r="B17" s="224" t="s">
        <v>1013</v>
      </c>
      <c r="C17" s="225"/>
      <c r="D17" s="225">
        <v>365056</v>
      </c>
      <c r="E17" s="226"/>
      <c r="F17" s="225"/>
      <c r="G17" s="225"/>
      <c r="H17" s="227"/>
      <c r="I17" s="59"/>
      <c r="J17" s="228"/>
      <c r="K17" s="228"/>
      <c r="L17" s="228"/>
      <c r="M17" s="228"/>
      <c r="N17" s="228"/>
      <c r="O17" s="229"/>
      <c r="P17" s="230"/>
      <c r="Q17" s="176"/>
      <c r="R17" s="59"/>
      <c r="S17" s="229"/>
      <c r="T17" s="144"/>
    </row>
    <row r="18" spans="1:24" ht="23.25" customHeight="1" x14ac:dyDescent="0.3">
      <c r="A18" s="204">
        <v>9</v>
      </c>
      <c r="B18" s="231" t="s">
        <v>13</v>
      </c>
      <c r="C18" s="232">
        <f>C8+SUM(C14:C17)</f>
        <v>1918361.6176500001</v>
      </c>
      <c r="D18" s="232">
        <f>D8+SUM(D14:D17)</f>
        <v>2299700.2800000003</v>
      </c>
      <c r="E18" s="233">
        <f t="shared" ref="E18:G18" si="4">E8+SUM(E14:E17)</f>
        <v>2081980</v>
      </c>
      <c r="F18" s="232">
        <f t="shared" si="4"/>
        <v>1651427.4500000002</v>
      </c>
      <c r="G18" s="232">
        <f t="shared" si="4"/>
        <v>1708974.69</v>
      </c>
      <c r="H18" s="234">
        <f>IF(E18=0,"",G18/E18)</f>
        <v>0.82084106955878533</v>
      </c>
      <c r="I18" s="59"/>
      <c r="J18" s="228"/>
      <c r="K18" s="228"/>
      <c r="L18" s="228"/>
      <c r="M18" s="228"/>
      <c r="N18" s="228"/>
      <c r="O18" s="235">
        <f t="shared" ref="O18" si="5">O8+SUM(O14:O17)</f>
        <v>2080480</v>
      </c>
      <c r="P18" s="236">
        <f>O18-E18</f>
        <v>-1500</v>
      </c>
      <c r="Q18" s="215">
        <f t="shared" si="1"/>
        <v>-7.2098746443128507E-4</v>
      </c>
      <c r="R18" s="59"/>
      <c r="S18" s="235">
        <f t="shared" ref="S18" si="6">S8+SUM(S14:S17)</f>
        <v>2210703</v>
      </c>
      <c r="T18" s="237"/>
      <c r="X18" s="198"/>
    </row>
    <row r="19" spans="1:24" ht="19.2" customHeight="1" thickBot="1" x14ac:dyDescent="0.35">
      <c r="A19" s="238" t="s">
        <v>14</v>
      </c>
      <c r="B19" s="239"/>
      <c r="C19" s="240"/>
      <c r="D19" s="240"/>
      <c r="E19" s="241"/>
      <c r="F19" s="240"/>
      <c r="G19" s="240"/>
      <c r="H19" s="242"/>
      <c r="I19" s="161"/>
      <c r="O19" s="243"/>
      <c r="P19" s="244"/>
      <c r="Q19" s="245"/>
      <c r="S19" s="243"/>
      <c r="T19" s="144"/>
    </row>
    <row r="20" spans="1:24" ht="21.75" customHeight="1" x14ac:dyDescent="0.3">
      <c r="A20" s="246"/>
      <c r="B20" s="247" t="s">
        <v>15</v>
      </c>
      <c r="C20" s="248"/>
      <c r="D20" s="248"/>
      <c r="E20" s="249"/>
      <c r="F20" s="248"/>
      <c r="G20" s="244"/>
      <c r="H20" s="250"/>
      <c r="I20" s="141"/>
      <c r="O20" s="251"/>
      <c r="P20" s="248"/>
      <c r="Q20" s="252"/>
      <c r="R20" s="253"/>
      <c r="S20" s="251"/>
      <c r="T20" s="144"/>
    </row>
    <row r="21" spans="1:24" ht="15" thickBot="1" x14ac:dyDescent="0.35">
      <c r="A21" s="164"/>
      <c r="B21" s="254" t="s">
        <v>16</v>
      </c>
      <c r="C21" s="255"/>
      <c r="D21" s="255"/>
      <c r="E21" s="256"/>
      <c r="F21" s="255"/>
      <c r="G21" s="255"/>
      <c r="H21" s="257"/>
      <c r="I21" s="161"/>
      <c r="O21" s="258"/>
      <c r="P21" s="244"/>
      <c r="Q21" s="259"/>
      <c r="R21" s="260"/>
      <c r="S21" s="258"/>
      <c r="T21" s="144"/>
    </row>
    <row r="22" spans="1:24" ht="33.6" customHeight="1" thickBot="1" x14ac:dyDescent="0.35">
      <c r="A22" s="171">
        <v>10</v>
      </c>
      <c r="B22" s="3" t="s">
        <v>222</v>
      </c>
      <c r="C22" s="172">
        <v>12000</v>
      </c>
      <c r="D22" s="173">
        <f>SUMIFS(MapFy2024_25!D:D,MapFy2024_25!B:B,'A- Summary Inc_Ex'!B22)</f>
        <v>975.5</v>
      </c>
      <c r="E22" s="181">
        <v>10000</v>
      </c>
      <c r="F22" s="180">
        <f>SUMIFS(MapFy2025_26!E:E,MapFy2025_26!B:B,'A- Summary Inc_Ex'!B22)</f>
        <v>0</v>
      </c>
      <c r="G22" s="175">
        <f>SUMIFS(MapFy2025_26!D:D,MapFy2025_26!B:B,'A- Summary Inc_Ex'!B22)</f>
        <v>14419.07</v>
      </c>
      <c r="H22" s="183">
        <f>IF(E22=0,"",G22/E22)</f>
        <v>1.441907</v>
      </c>
      <c r="I22" s="161"/>
      <c r="O22" s="261">
        <v>15000</v>
      </c>
      <c r="P22" s="197">
        <f>O22-E22</f>
        <v>5000</v>
      </c>
      <c r="Q22" s="262">
        <f>(O22-E22)/O22</f>
        <v>0.33333333333333331</v>
      </c>
      <c r="R22" s="263" t="s">
        <v>973</v>
      </c>
      <c r="S22" s="261">
        <v>10000</v>
      </c>
      <c r="T22" s="144" t="s">
        <v>1009</v>
      </c>
      <c r="X22" s="198"/>
    </row>
    <row r="23" spans="1:24" ht="32.4" customHeight="1" thickBot="1" x14ac:dyDescent="0.35">
      <c r="A23" s="194">
        <v>11</v>
      </c>
      <c r="B23" s="53" t="s">
        <v>234</v>
      </c>
      <c r="C23" s="264">
        <v>20000</v>
      </c>
      <c r="D23" s="182">
        <v>22980</v>
      </c>
      <c r="E23" s="195">
        <v>28000</v>
      </c>
      <c r="F23" s="180">
        <f>SUMIFS(MapFy2025_26!E:E,MapFy2025_26!B:B,'A- Summary Inc_Ex'!B23)</f>
        <v>8347.02</v>
      </c>
      <c r="G23" s="180">
        <f>SUMIFS(MapFy2025_26!D:D,MapFy2025_26!B:B,'A- Summary Inc_Ex'!B23)</f>
        <v>6752.93</v>
      </c>
      <c r="H23" s="183">
        <f t="shared" ref="H23:H26" si="7">IF(E23=0,"",G23/E23)</f>
        <v>0.24117607142857145</v>
      </c>
      <c r="I23" s="265"/>
      <c r="O23" s="266">
        <v>28000</v>
      </c>
      <c r="P23" s="197">
        <f t="shared" ref="P23:P41" si="8">O23-E23</f>
        <v>0</v>
      </c>
      <c r="Q23" s="262">
        <f t="shared" ref="Q23:Q61" si="9">(O23-E23)/O23</f>
        <v>0</v>
      </c>
      <c r="R23" s="263"/>
      <c r="S23" s="266">
        <v>35000</v>
      </c>
      <c r="T23" s="144" t="s">
        <v>1011</v>
      </c>
    </row>
    <row r="24" spans="1:24" ht="16.5" customHeight="1" x14ac:dyDescent="0.3">
      <c r="A24" s="199">
        <v>13</v>
      </c>
      <c r="B24" s="4" t="s">
        <v>17</v>
      </c>
      <c r="C24" s="267">
        <v>36000</v>
      </c>
      <c r="D24" s="200">
        <f>SUMIFS(MapFy2024_25!D:D,MapFy2024_25!B:B,'A- Summary Inc_Ex'!B24)</f>
        <v>41756.94</v>
      </c>
      <c r="E24" s="201">
        <v>15000</v>
      </c>
      <c r="F24" s="180">
        <f>SUMIFS(MapFy2025_26!E:E,MapFy2025_26!B:B,'A- Summary Inc_Ex'!B24)</f>
        <v>18837.5</v>
      </c>
      <c r="G24" s="180">
        <f>SUMIFS(MapFy2025_26!D:D,MapFy2025_26!B:B,'A- Summary Inc_Ex'!B24)</f>
        <v>12983.57</v>
      </c>
      <c r="H24" s="183">
        <f t="shared" si="7"/>
        <v>0.86557133333333336</v>
      </c>
      <c r="I24" s="161" t="s">
        <v>238</v>
      </c>
      <c r="O24" s="268">
        <v>16000</v>
      </c>
      <c r="P24" s="197">
        <f t="shared" si="8"/>
        <v>1000</v>
      </c>
      <c r="Q24" s="262">
        <f t="shared" si="9"/>
        <v>6.25E-2</v>
      </c>
      <c r="R24" s="144"/>
      <c r="S24" s="268">
        <v>16000</v>
      </c>
      <c r="T24" s="144"/>
    </row>
    <row r="25" spans="1:24" ht="16.5" customHeight="1" thickBot="1" x14ac:dyDescent="0.35">
      <c r="A25" s="199">
        <v>14</v>
      </c>
      <c r="B25" s="4" t="s">
        <v>18</v>
      </c>
      <c r="C25" s="267">
        <v>42000</v>
      </c>
      <c r="D25" s="200">
        <f>SUMIFS(MapFy2024_25!D:D,MapFy2024_25!B:B,'A- Summary Inc_Ex'!B25)</f>
        <v>42000</v>
      </c>
      <c r="E25" s="201">
        <v>43500</v>
      </c>
      <c r="F25" s="180">
        <f>SUMIFS(MapFy2025_26!E:E,MapFy2025_26!B:B,'A- Summary Inc_Ex'!B25)</f>
        <v>21000</v>
      </c>
      <c r="G25" s="180">
        <f>SUMIFS(MapFy2025_26!D:D,MapFy2025_26!B:B,'A- Summary Inc_Ex'!B25)</f>
        <v>21000</v>
      </c>
      <c r="H25" s="183">
        <f t="shared" si="7"/>
        <v>0.48275862068965519</v>
      </c>
      <c r="I25" s="161"/>
      <c r="O25" s="268">
        <v>43500</v>
      </c>
      <c r="P25" s="197">
        <f t="shared" si="8"/>
        <v>0</v>
      </c>
      <c r="Q25" s="262">
        <f t="shared" si="9"/>
        <v>0</v>
      </c>
      <c r="R25" s="144"/>
      <c r="S25" s="268">
        <v>44000</v>
      </c>
      <c r="T25" s="144"/>
    </row>
    <row r="26" spans="1:24" ht="31.8" customHeight="1" thickBot="1" x14ac:dyDescent="0.35">
      <c r="A26" s="164">
        <v>15</v>
      </c>
      <c r="B26" s="2" t="s">
        <v>19</v>
      </c>
      <c r="C26" s="179">
        <v>6000</v>
      </c>
      <c r="D26" s="200">
        <f>SUMIFS(MapFy2024_25!D:D,MapFy2024_25!B:B,'A- Summary Inc_Ex'!B26)</f>
        <v>6342.14</v>
      </c>
      <c r="E26" s="181">
        <v>10000</v>
      </c>
      <c r="F26" s="180">
        <f>SUMIFS(MapFy2025_26!E:E,MapFy2025_26!B:B,'A- Summary Inc_Ex'!B26)</f>
        <v>6342.14</v>
      </c>
      <c r="G26" s="179">
        <f>SUMIFS(MapFy2025_26!D:D,MapFy2025_26!B:B,'A- Summary Inc_Ex'!B26)</f>
        <v>1276.48</v>
      </c>
      <c r="H26" s="183">
        <f t="shared" si="7"/>
        <v>0.12764800000000001</v>
      </c>
      <c r="I26" s="161" t="s">
        <v>224</v>
      </c>
      <c r="M26" s="269"/>
      <c r="O26" s="261">
        <v>6000</v>
      </c>
      <c r="P26" s="197">
        <f t="shared" si="8"/>
        <v>-4000</v>
      </c>
      <c r="Q26" s="262">
        <f t="shared" si="9"/>
        <v>-0.66666666666666663</v>
      </c>
      <c r="R26" s="263" t="s">
        <v>977</v>
      </c>
      <c r="S26" s="261">
        <v>6000</v>
      </c>
      <c r="T26" s="144" t="s">
        <v>1010</v>
      </c>
    </row>
    <row r="27" spans="1:24" ht="16.5" customHeight="1" x14ac:dyDescent="0.3">
      <c r="A27" s="185">
        <v>16</v>
      </c>
      <c r="B27" s="1" t="s">
        <v>20</v>
      </c>
      <c r="C27" s="206">
        <f>'B- Marketing &amp; Adverts'!C27</f>
        <v>136500</v>
      </c>
      <c r="D27" s="206">
        <f>'B- Marketing &amp; Adverts'!D27</f>
        <v>139286.29</v>
      </c>
      <c r="E27" s="207">
        <f>'B- Marketing &amp; Adverts'!E27</f>
        <v>147500</v>
      </c>
      <c r="F27" s="187">
        <f>'B- Marketing &amp; Adverts'!F27</f>
        <v>61969.850000000006</v>
      </c>
      <c r="G27" s="187">
        <f>'B- Marketing &amp; Adverts'!G27</f>
        <v>69579.67</v>
      </c>
      <c r="H27" s="234">
        <f>IF(E27=0,"",G27/E27)</f>
        <v>0.47172657627118642</v>
      </c>
      <c r="I27" s="161"/>
      <c r="O27" s="270">
        <f>'B- Marketing &amp; Adverts'!J27</f>
        <v>159600</v>
      </c>
      <c r="P27" s="197">
        <f t="shared" si="8"/>
        <v>12100</v>
      </c>
      <c r="Q27" s="262">
        <f t="shared" si="9"/>
        <v>7.5814536340852126E-2</v>
      </c>
      <c r="R27" s="144"/>
      <c r="S27" s="270">
        <f>'B- Marketing &amp; Adverts'!M27</f>
        <v>154500</v>
      </c>
      <c r="T27" s="144"/>
    </row>
    <row r="28" spans="1:24" ht="23.25" customHeight="1" thickBot="1" x14ac:dyDescent="0.35">
      <c r="A28" s="271">
        <v>17</v>
      </c>
      <c r="B28" s="272" t="s">
        <v>21</v>
      </c>
      <c r="C28" s="273">
        <f>SUM(C22:C27)</f>
        <v>252500</v>
      </c>
      <c r="D28" s="273">
        <f>SUM(D22:D27)</f>
        <v>253340.87</v>
      </c>
      <c r="E28" s="274">
        <f t="shared" ref="E28:G28" si="10">SUM(E22:E27)</f>
        <v>254000</v>
      </c>
      <c r="F28" s="273">
        <f>SUM(F22:F27)</f>
        <v>116496.51000000001</v>
      </c>
      <c r="G28" s="273">
        <f t="shared" si="10"/>
        <v>126011.72</v>
      </c>
      <c r="H28" s="275">
        <f>IF(E28=0,"",G28/E28)</f>
        <v>0.49610913385826771</v>
      </c>
      <c r="I28" s="265"/>
      <c r="O28" s="276">
        <f>O27+O26+O25+O24+O23+O22</f>
        <v>268100</v>
      </c>
      <c r="P28" s="197">
        <f t="shared" si="8"/>
        <v>14100</v>
      </c>
      <c r="Q28" s="262">
        <f t="shared" si="9"/>
        <v>5.2592316299888101E-2</v>
      </c>
      <c r="R28" s="260"/>
      <c r="S28" s="276">
        <f>S27+S26+S25+S24+S23+S22</f>
        <v>265500</v>
      </c>
      <c r="T28" s="191"/>
    </row>
    <row r="29" spans="1:24" ht="18.75" customHeight="1" thickBot="1" x14ac:dyDescent="0.35">
      <c r="A29" s="164">
        <v>18</v>
      </c>
      <c r="B29" s="277" t="s">
        <v>22</v>
      </c>
      <c r="C29" s="278">
        <f>'C- Economic Vitality'!C12</f>
        <v>227000</v>
      </c>
      <c r="D29" s="279">
        <f>'C- Economic Vitality'!D12</f>
        <v>37986.910000000003</v>
      </c>
      <c r="E29" s="280">
        <v>262500</v>
      </c>
      <c r="F29" s="281">
        <f>'C- Economic Vitality'!F12</f>
        <v>18250</v>
      </c>
      <c r="G29" s="281">
        <f>'C- Economic Vitality'!G12</f>
        <v>23131</v>
      </c>
      <c r="H29" s="282">
        <f>IF(E29=0,"",G29/E29)</f>
        <v>8.8118095238095231E-2</v>
      </c>
      <c r="I29" s="265"/>
      <c r="O29" s="283">
        <f>'C- Economic Vitality'!K12</f>
        <v>299500</v>
      </c>
      <c r="P29" s="197">
        <f t="shared" si="8"/>
        <v>37000</v>
      </c>
      <c r="Q29" s="262">
        <f t="shared" si="9"/>
        <v>0.12353923205342238</v>
      </c>
      <c r="R29" s="260"/>
      <c r="S29" s="283">
        <f>'C- Economic Vitality'!O12</f>
        <v>291000</v>
      </c>
      <c r="T29" s="144"/>
    </row>
    <row r="30" spans="1:24" ht="18.75" customHeight="1" thickTop="1" thickBot="1" x14ac:dyDescent="0.35">
      <c r="A30" s="284">
        <v>19</v>
      </c>
      <c r="B30" s="285" t="s">
        <v>23</v>
      </c>
      <c r="C30" s="273">
        <f>'D-Placemaking '!C13</f>
        <v>526320</v>
      </c>
      <c r="D30" s="286">
        <f>'D-Placemaking '!D13</f>
        <v>465307</v>
      </c>
      <c r="E30" s="287">
        <v>597000</v>
      </c>
      <c r="F30" s="288">
        <f>'D-Placemaking '!F13</f>
        <v>217884.19</v>
      </c>
      <c r="G30" s="288">
        <f>'D-Placemaking '!G13</f>
        <v>257477.54</v>
      </c>
      <c r="H30" s="282">
        <f>IF(E30=0,"",G30/E30)</f>
        <v>0.43128566164154103</v>
      </c>
      <c r="I30" s="161"/>
      <c r="O30" s="289">
        <f>'D-Placemaking '!J13</f>
        <v>532000</v>
      </c>
      <c r="P30" s="197">
        <f t="shared" si="8"/>
        <v>-65000</v>
      </c>
      <c r="Q30" s="262">
        <f t="shared" si="9"/>
        <v>-0.12218045112781954</v>
      </c>
      <c r="R30" s="260"/>
      <c r="S30" s="289">
        <f>'D-Placemaking '!N13</f>
        <v>555000</v>
      </c>
      <c r="T30" s="144"/>
    </row>
    <row r="31" spans="1:24" ht="21" customHeight="1" thickBot="1" x14ac:dyDescent="0.35">
      <c r="A31" s="271" t="s">
        <v>11</v>
      </c>
      <c r="B31" s="290" t="s">
        <v>24</v>
      </c>
      <c r="C31" s="291"/>
      <c r="D31" s="292"/>
      <c r="E31" s="293"/>
      <c r="F31" s="292"/>
      <c r="G31" s="292"/>
      <c r="H31" s="294"/>
      <c r="I31" s="161"/>
      <c r="O31" s="295"/>
      <c r="P31" s="197">
        <f t="shared" si="8"/>
        <v>0</v>
      </c>
      <c r="Q31" s="262"/>
      <c r="R31" s="260"/>
      <c r="S31" s="295"/>
      <c r="T31" s="144"/>
    </row>
    <row r="32" spans="1:24" ht="33" customHeight="1" thickBot="1" x14ac:dyDescent="0.35">
      <c r="A32" s="296">
        <v>20</v>
      </c>
      <c r="B32" s="297" t="s">
        <v>25</v>
      </c>
      <c r="C32" s="298">
        <f>SUM(C28:C30)</f>
        <v>1005820</v>
      </c>
      <c r="D32" s="298">
        <f>SUM(D28:D30)</f>
        <v>756634.78</v>
      </c>
      <c r="E32" s="293">
        <v>1113500</v>
      </c>
      <c r="F32" s="298">
        <f>SUM(F28:F30)</f>
        <v>352630.7</v>
      </c>
      <c r="G32" s="298">
        <f>SUM(G28:G30)</f>
        <v>406620.26</v>
      </c>
      <c r="H32" s="183">
        <f t="shared" ref="H32:H34" si="11">IF(E32=0,"",G32/E32)</f>
        <v>0.36517311180960937</v>
      </c>
      <c r="I32" s="161"/>
      <c r="O32" s="295">
        <f>O30+O29+O28</f>
        <v>1099600</v>
      </c>
      <c r="P32" s="197">
        <f t="shared" si="8"/>
        <v>-13900</v>
      </c>
      <c r="Q32" s="262">
        <f t="shared" si="9"/>
        <v>-1.2640960349217897E-2</v>
      </c>
      <c r="R32" s="260"/>
      <c r="S32" s="295">
        <f>S30+S29+S28</f>
        <v>1111500</v>
      </c>
      <c r="T32" s="191">
        <f>S32-O32</f>
        <v>11900</v>
      </c>
    </row>
    <row r="33" spans="1:21" ht="21" customHeight="1" thickBot="1" x14ac:dyDescent="0.35">
      <c r="A33" s="299">
        <v>21</v>
      </c>
      <c r="B33" s="300" t="s">
        <v>26</v>
      </c>
      <c r="C33" s="298">
        <v>18000</v>
      </c>
      <c r="D33" s="298">
        <f>SUMIFS(MapFy2024_25!D:D,MapFy2024_25!B:B,'A- Summary Inc_Ex'!B33)</f>
        <v>8600</v>
      </c>
      <c r="E33" s="293">
        <v>20000</v>
      </c>
      <c r="F33" s="298">
        <f>SUMIFS(MapFy2025_26!E:E,MapFy2025_26!B:B,'A- Summary Inc_Ex'!B33)</f>
        <v>6600</v>
      </c>
      <c r="G33" s="298">
        <f>SUMIFS(MapFy2025_26!D:D,MapFy2025_26!B:B,'A- Summary Inc_Ex'!B33)</f>
        <v>7695</v>
      </c>
      <c r="H33" s="301">
        <f t="shared" si="11"/>
        <v>0.38474999999999998</v>
      </c>
      <c r="I33" s="161"/>
      <c r="M33" s="269"/>
      <c r="O33" s="295">
        <v>20000</v>
      </c>
      <c r="P33" s="197">
        <f t="shared" si="8"/>
        <v>0</v>
      </c>
      <c r="Q33" s="262">
        <f t="shared" si="9"/>
        <v>0</v>
      </c>
      <c r="R33" s="260"/>
      <c r="S33" s="295">
        <v>18000</v>
      </c>
      <c r="T33" s="144"/>
    </row>
    <row r="34" spans="1:21" ht="15" thickBot="1" x14ac:dyDescent="0.35">
      <c r="A34" s="210" t="s">
        <v>9</v>
      </c>
      <c r="B34" s="302" t="s">
        <v>27</v>
      </c>
      <c r="C34" s="298">
        <v>30000</v>
      </c>
      <c r="D34" s="298">
        <f>SUMIFS(MapFy2024_25!D:D,MapFy2024_25!B:B,'A- Summary Inc_Ex'!B34)</f>
        <v>0</v>
      </c>
      <c r="E34" s="293">
        <v>0</v>
      </c>
      <c r="F34" s="298">
        <f>SUMIFS(MapFy2025_26!E:E,MapFy2025_26!B:B,'A- Summary Inc_Ex'!B34)</f>
        <v>0</v>
      </c>
      <c r="G34" s="303">
        <f>SUMIFS(MapFy2025_26!D:D,MapFy2025_26!B:B,'A- Summary Inc_Ex'!B34)</f>
        <v>0</v>
      </c>
      <c r="H34" s="301" t="str">
        <f t="shared" si="11"/>
        <v/>
      </c>
      <c r="I34" s="161"/>
      <c r="O34" s="295">
        <v>0</v>
      </c>
      <c r="P34" s="197">
        <f t="shared" si="8"/>
        <v>0</v>
      </c>
      <c r="Q34" s="262"/>
      <c r="R34" s="260"/>
      <c r="S34" s="295">
        <v>0</v>
      </c>
      <c r="T34" s="144"/>
    </row>
    <row r="35" spans="1:21" ht="28.5" customHeight="1" thickBot="1" x14ac:dyDescent="0.35">
      <c r="A35" s="304">
        <v>22</v>
      </c>
      <c r="B35" s="305" t="s">
        <v>28</v>
      </c>
      <c r="C35" s="306">
        <f>SUM(C32:C34)</f>
        <v>1053820</v>
      </c>
      <c r="D35" s="306">
        <f>SUM(D32:D34)</f>
        <v>765234.78</v>
      </c>
      <c r="E35" s="307">
        <f t="shared" ref="E35:G35" si="12">SUM(E32:E34)</f>
        <v>1133500</v>
      </c>
      <c r="F35" s="306">
        <f>SUM(F32:F34)</f>
        <v>359230.7</v>
      </c>
      <c r="G35" s="306">
        <f t="shared" si="12"/>
        <v>414315.26</v>
      </c>
      <c r="H35" s="282">
        <f>IF(E35=0,"",G35/E35)</f>
        <v>0.36551853550948393</v>
      </c>
      <c r="I35" s="169"/>
      <c r="J35" s="269"/>
      <c r="O35" s="308">
        <f>O33+O32</f>
        <v>1119600</v>
      </c>
      <c r="P35" s="197">
        <f t="shared" si="8"/>
        <v>-13900</v>
      </c>
      <c r="Q35" s="262">
        <f t="shared" si="9"/>
        <v>-1.24151482672383E-2</v>
      </c>
      <c r="R35" s="260"/>
      <c r="S35" s="308">
        <f>S33+S32</f>
        <v>1129500</v>
      </c>
      <c r="T35" s="309">
        <f>S35-O35</f>
        <v>9900</v>
      </c>
    </row>
    <row r="36" spans="1:21" ht="15" thickTop="1" x14ac:dyDescent="0.3">
      <c r="A36" s="310"/>
      <c r="B36" s="247" t="s">
        <v>29</v>
      </c>
      <c r="C36" s="311"/>
      <c r="D36" s="312"/>
      <c r="E36" s="313"/>
      <c r="F36" s="314"/>
      <c r="G36" s="314"/>
      <c r="H36" s="250"/>
      <c r="I36" s="141"/>
      <c r="O36" s="315"/>
      <c r="P36" s="197"/>
      <c r="Q36" s="262"/>
      <c r="R36" s="260"/>
      <c r="S36" s="315"/>
      <c r="T36" s="144"/>
    </row>
    <row r="37" spans="1:21" ht="31.5" customHeight="1" x14ac:dyDescent="0.3">
      <c r="A37" s="316">
        <v>23</v>
      </c>
      <c r="B37" s="64" t="s">
        <v>30</v>
      </c>
      <c r="C37" s="172">
        <v>435658</v>
      </c>
      <c r="D37" s="182">
        <v>455375</v>
      </c>
      <c r="E37" s="181">
        <v>457440.9</v>
      </c>
      <c r="F37" s="180">
        <f>SUMIFS(MapFy2025_26!E:E,MapFy2025_26!B:B,'A- Summary Inc_Ex'!B37)</f>
        <v>227849.48</v>
      </c>
      <c r="G37" s="180">
        <f>SUMIFS(MapFy2025_26!D:D,MapFy2025_26!B:B,'A- Summary Inc_Ex'!B37)</f>
        <v>223503.6</v>
      </c>
      <c r="H37" s="183">
        <f t="shared" ref="H37:H40" si="13">IF(E37=0,"",G37/E37)</f>
        <v>0.48859557595309033</v>
      </c>
      <c r="I37" s="161" t="s">
        <v>223</v>
      </c>
      <c r="J37" s="269"/>
      <c r="O37" s="184">
        <v>457440.9</v>
      </c>
      <c r="P37" s="197">
        <f t="shared" si="8"/>
        <v>0</v>
      </c>
      <c r="Q37" s="262">
        <f t="shared" si="9"/>
        <v>0</v>
      </c>
      <c r="R37" s="144"/>
      <c r="S37" s="317">
        <v>563200</v>
      </c>
      <c r="T37" s="191" t="s">
        <v>1015</v>
      </c>
      <c r="U37" s="269"/>
    </row>
    <row r="38" spans="1:21" ht="16.5" customHeight="1" x14ac:dyDescent="0.3">
      <c r="A38" s="318">
        <v>24</v>
      </c>
      <c r="B38" s="65" t="s">
        <v>31</v>
      </c>
      <c r="C38" s="267">
        <v>64694.07</v>
      </c>
      <c r="D38" s="182">
        <f>SUMIFS(MapFy2024_25!D:D,MapFy2024_25!B:B,'A- Summary Inc_Ex'!B38)</f>
        <v>35466.51</v>
      </c>
      <c r="E38" s="195">
        <v>68499</v>
      </c>
      <c r="F38" s="180">
        <f>SUMIFS(MapFy2025_26!E:E,MapFy2025_26!B:B,'A- Summary Inc_Ex'!B38)</f>
        <v>17934.939999999999</v>
      </c>
      <c r="G38" s="180">
        <f>SUMIFS(MapFy2025_26!D:D,MapFy2025_26!B:B,'A- Summary Inc_Ex'!B38)</f>
        <v>17392.32</v>
      </c>
      <c r="H38" s="183">
        <f t="shared" si="13"/>
        <v>0.25390618841150964</v>
      </c>
      <c r="I38" s="161"/>
      <c r="O38" s="196">
        <v>68499</v>
      </c>
      <c r="P38" s="197">
        <f t="shared" si="8"/>
        <v>0</v>
      </c>
      <c r="Q38" s="262">
        <f t="shared" si="9"/>
        <v>0</v>
      </c>
      <c r="R38" s="144"/>
      <c r="S38" s="266">
        <v>49000</v>
      </c>
      <c r="T38" s="144"/>
    </row>
    <row r="39" spans="1:21" ht="16.5" customHeight="1" x14ac:dyDescent="0.3">
      <c r="A39" s="318">
        <v>25</v>
      </c>
      <c r="B39" s="65" t="s">
        <v>32</v>
      </c>
      <c r="C39" s="267">
        <v>43835</v>
      </c>
      <c r="D39" s="182">
        <f>SUMIFS(MapFy2024_25!D:D,MapFy2024_25!B:B,'A- Summary Inc_Ex'!B39)</f>
        <v>35948.400000000001</v>
      </c>
      <c r="E39" s="195">
        <v>48000</v>
      </c>
      <c r="F39" s="180">
        <f>SUMIFS(MapFy2025_26!E:E,MapFy2025_26!B:B,'A- Summary Inc_Ex'!B39)</f>
        <v>18623.009999999998</v>
      </c>
      <c r="G39" s="180">
        <f>SUMIFS(MapFy2025_26!D:D,MapFy2025_26!B:B,'A- Summary Inc_Ex'!B39)</f>
        <v>20403.46</v>
      </c>
      <c r="H39" s="183">
        <f t="shared" si="13"/>
        <v>0.42507208333333329</v>
      </c>
      <c r="I39" s="161" t="s">
        <v>198</v>
      </c>
      <c r="O39" s="196">
        <v>48000</v>
      </c>
      <c r="P39" s="197">
        <f t="shared" si="8"/>
        <v>0</v>
      </c>
      <c r="Q39" s="262">
        <f t="shared" si="9"/>
        <v>0</v>
      </c>
      <c r="R39" s="144"/>
      <c r="S39" s="266">
        <v>52000</v>
      </c>
      <c r="T39" s="144"/>
    </row>
    <row r="40" spans="1:21" ht="16.5" customHeight="1" x14ac:dyDescent="0.3">
      <c r="A40" s="318">
        <v>26</v>
      </c>
      <c r="B40" s="65" t="s">
        <v>33</v>
      </c>
      <c r="C40" s="267">
        <v>2140</v>
      </c>
      <c r="D40" s="182">
        <f>SUMIFS(MapFy2024_25!D:D,MapFy2024_25!B:B,'A- Summary Inc_Ex'!B40)</f>
        <v>2233</v>
      </c>
      <c r="E40" s="195">
        <v>2500</v>
      </c>
      <c r="F40" s="180">
        <f>SUMIFS(MapFy2025_26!E:E,MapFy2025_26!B:B,'A- Summary Inc_Ex'!B40)</f>
        <v>1674.75</v>
      </c>
      <c r="G40" s="180">
        <f>SUMIFS(MapFy2025_26!D:D,MapFy2025_26!B:B,'A- Summary Inc_Ex'!B40)</f>
        <v>1155.5</v>
      </c>
      <c r="H40" s="183">
        <f t="shared" si="13"/>
        <v>0.4622</v>
      </c>
      <c r="I40" s="161"/>
      <c r="O40" s="196">
        <v>2500</v>
      </c>
      <c r="P40" s="197">
        <f t="shared" si="8"/>
        <v>0</v>
      </c>
      <c r="Q40" s="262">
        <f t="shared" si="9"/>
        <v>0</v>
      </c>
      <c r="R40" s="144"/>
      <c r="S40" s="266">
        <v>3500</v>
      </c>
      <c r="T40" s="144"/>
    </row>
    <row r="41" spans="1:21" ht="16.5" customHeight="1" x14ac:dyDescent="0.3">
      <c r="A41" s="164">
        <v>27</v>
      </c>
      <c r="B41" s="66" t="s">
        <v>34</v>
      </c>
      <c r="C41" s="179">
        <v>30611.39</v>
      </c>
      <c r="D41" s="182">
        <f>SUMIFS(MapFy2024_25!D:D,MapFy2024_25!B:B,'A- Summary Inc_Ex'!B41)</f>
        <v>22438.54</v>
      </c>
      <c r="E41" s="181">
        <v>35000</v>
      </c>
      <c r="F41" s="180">
        <f>SUMIFS(MapFy2025_26!E:E,MapFy2025_26!B:B,'A- Summary Inc_Ex'!B41)</f>
        <v>11522.08</v>
      </c>
      <c r="G41" s="180">
        <f>SUMIFS(MapFy2025_26!D:D,MapFy2025_26!B:B,'A- Summary Inc_Ex'!B41)</f>
        <v>10916.46</v>
      </c>
      <c r="H41" s="203">
        <f>IF(G41=0,"",G41/E41)</f>
        <v>0.31189885714285714</v>
      </c>
      <c r="I41" s="161" t="s">
        <v>199</v>
      </c>
      <c r="O41" s="184">
        <v>35000</v>
      </c>
      <c r="P41" s="197">
        <f t="shared" si="8"/>
        <v>0</v>
      </c>
      <c r="Q41" s="262">
        <f t="shared" si="9"/>
        <v>0</v>
      </c>
      <c r="R41" s="144"/>
      <c r="S41" s="261">
        <v>47670</v>
      </c>
      <c r="T41" s="144"/>
    </row>
    <row r="42" spans="1:21" ht="15" thickBot="1" x14ac:dyDescent="0.35">
      <c r="A42" s="185">
        <v>28</v>
      </c>
      <c r="B42" s="319" t="s">
        <v>35</v>
      </c>
      <c r="C42" s="320">
        <f>SUM(C37:C41)</f>
        <v>576938.46000000008</v>
      </c>
      <c r="D42" s="320">
        <f>SUM(D37:D41)</f>
        <v>551461.45000000007</v>
      </c>
      <c r="E42" s="321">
        <f t="shared" ref="E42:G42" si="14">SUM(E37:E41)</f>
        <v>611439.9</v>
      </c>
      <c r="F42" s="320">
        <f>SUM(F37:F41)</f>
        <v>277604.26</v>
      </c>
      <c r="G42" s="320">
        <f t="shared" si="14"/>
        <v>273371.34000000003</v>
      </c>
      <c r="H42" s="322">
        <f>G42/E42</f>
        <v>0.44709437509720906</v>
      </c>
      <c r="I42" s="169"/>
      <c r="O42" s="323">
        <f t="shared" ref="O42" si="15">SUM(O37:O41)</f>
        <v>611439.9</v>
      </c>
      <c r="P42" s="273">
        <v>0</v>
      </c>
      <c r="Q42" s="262">
        <f t="shared" si="9"/>
        <v>0</v>
      </c>
      <c r="R42" s="260"/>
      <c r="S42" s="323">
        <f t="shared" ref="S42" si="16">SUM(S37:S41)</f>
        <v>715370</v>
      </c>
      <c r="T42" s="191">
        <f>S42-O42</f>
        <v>103930.09999999998</v>
      </c>
    </row>
    <row r="43" spans="1:21" ht="16.5" customHeight="1" x14ac:dyDescent="0.3">
      <c r="A43" s="171">
        <v>29</v>
      </c>
      <c r="B43" s="67" t="s">
        <v>36</v>
      </c>
      <c r="C43" s="264">
        <v>0</v>
      </c>
      <c r="D43" s="182">
        <f>SUMIFS(MapFy2024_25!D:D,MapFy2024_25!B:B,'A- Summary Inc_Ex'!B43)</f>
        <v>0</v>
      </c>
      <c r="E43" s="181">
        <v>5000</v>
      </c>
      <c r="F43" s="180">
        <f>SUMIFS(MapFy2025_26!E:E,MapFy2025_26!B:B,'A- Summary Inc_Ex'!B43)</f>
        <v>0</v>
      </c>
      <c r="G43" s="180">
        <f>SUMIFS(MapFy2025_26!D:D,MapFy2025_26!B:B,'A- Summary Inc_Ex'!B43)</f>
        <v>0</v>
      </c>
      <c r="H43" s="183">
        <f>IF(E43=0,"",G43/E43)</f>
        <v>0</v>
      </c>
      <c r="I43" s="141"/>
      <c r="O43" s="261">
        <v>5000</v>
      </c>
      <c r="P43" s="324">
        <v>0</v>
      </c>
      <c r="Q43" s="262">
        <f t="shared" si="9"/>
        <v>0</v>
      </c>
      <c r="R43" s="144"/>
      <c r="S43" s="261">
        <v>5000</v>
      </c>
      <c r="T43" s="144"/>
    </row>
    <row r="44" spans="1:21" ht="16.5" customHeight="1" x14ac:dyDescent="0.3">
      <c r="A44" s="199">
        <v>30</v>
      </c>
      <c r="B44" s="68" t="s">
        <v>37</v>
      </c>
      <c r="C44" s="267">
        <v>21000</v>
      </c>
      <c r="D44" s="182">
        <f>SUMIFS(MapFy2024_25!D:D,MapFy2024_25!B:B,'A- Summary Inc_Ex'!B44)</f>
        <v>12649.98</v>
      </c>
      <c r="E44" s="195">
        <v>23000</v>
      </c>
      <c r="F44" s="180">
        <f>SUMIFS(MapFy2025_26!E:E,MapFy2025_26!B:B,'A- Summary Inc_Ex'!B44)</f>
        <v>20017.5</v>
      </c>
      <c r="G44" s="180">
        <f>SUMIFS(MapFy2025_26!D:D,MapFy2025_26!B:B,'A- Summary Inc_Ex'!B44)</f>
        <v>2500</v>
      </c>
      <c r="H44" s="183">
        <f>IF(E44=0,"",G44/E44)</f>
        <v>0.10869565217391304</v>
      </c>
      <c r="I44" s="161"/>
      <c r="O44" s="196">
        <v>23000</v>
      </c>
      <c r="P44" s="325">
        <v>0</v>
      </c>
      <c r="Q44" s="262">
        <f t="shared" si="9"/>
        <v>0</v>
      </c>
      <c r="R44" s="144"/>
      <c r="S44" s="196">
        <v>25000</v>
      </c>
      <c r="T44" s="144" t="s">
        <v>1016</v>
      </c>
    </row>
    <row r="45" spans="1:21" ht="33" customHeight="1" thickBot="1" x14ac:dyDescent="0.35">
      <c r="A45" s="199">
        <v>31</v>
      </c>
      <c r="B45" s="68" t="s">
        <v>38</v>
      </c>
      <c r="C45" s="267">
        <v>15000</v>
      </c>
      <c r="D45" s="182">
        <f>SUMIFS(MapFy2024_25!D:D,MapFy2024_25!B:B,'A- Summary Inc_Ex'!B45)</f>
        <v>13244.400000000001</v>
      </c>
      <c r="E45" s="195">
        <v>40000</v>
      </c>
      <c r="F45" s="180">
        <f>SUMIFS(MapFy2025_26!E:E,MapFy2025_26!B:B,'A- Summary Inc_Ex'!B45)</f>
        <v>4799.49</v>
      </c>
      <c r="G45" s="180">
        <f>SUMIFS(MapFy2025_26!D:D,MapFy2025_26!B:B,'A- Summary Inc_Ex'!B45)</f>
        <v>14301.56</v>
      </c>
      <c r="H45" s="183">
        <f t="shared" ref="H45:H49" si="17">IF(E45=0,"",G45/E45)</f>
        <v>0.357539</v>
      </c>
      <c r="I45" s="161"/>
      <c r="O45" s="266">
        <v>50000</v>
      </c>
      <c r="P45" s="197">
        <f>O45-E45</f>
        <v>10000</v>
      </c>
      <c r="Q45" s="262">
        <f t="shared" si="9"/>
        <v>0.2</v>
      </c>
      <c r="R45" s="144" t="s">
        <v>983</v>
      </c>
      <c r="S45" s="266">
        <v>60000</v>
      </c>
      <c r="T45" s="144" t="s">
        <v>1017</v>
      </c>
    </row>
    <row r="46" spans="1:21" ht="43.8" customHeight="1" thickBot="1" x14ac:dyDescent="0.35">
      <c r="A46" s="199">
        <v>32</v>
      </c>
      <c r="B46" s="68" t="s">
        <v>39</v>
      </c>
      <c r="C46" s="267">
        <v>11500</v>
      </c>
      <c r="D46" s="182">
        <f>SUMIFS(MapFy2024_25!D:D,MapFy2024_25!B:B,'A- Summary Inc_Ex'!B46)</f>
        <v>9053.81</v>
      </c>
      <c r="E46" s="195">
        <v>14000</v>
      </c>
      <c r="F46" s="180">
        <f>SUMIFS(MapFy2025_26!E:E,MapFy2025_26!B:B,'A- Summary Inc_Ex'!B46)</f>
        <v>8055.56</v>
      </c>
      <c r="G46" s="180">
        <f>SUMIFS(MapFy2025_26!D:D,MapFy2025_26!B:B,'A- Summary Inc_Ex'!B46)</f>
        <v>5405.67</v>
      </c>
      <c r="H46" s="183">
        <f t="shared" si="17"/>
        <v>0.38611928571428572</v>
      </c>
      <c r="I46" s="161"/>
      <c r="O46" s="266">
        <v>12000</v>
      </c>
      <c r="P46" s="197">
        <f>O46-E46</f>
        <v>-2000</v>
      </c>
      <c r="Q46" s="262">
        <f t="shared" si="9"/>
        <v>-0.16666666666666666</v>
      </c>
      <c r="R46" s="263" t="s">
        <v>974</v>
      </c>
      <c r="S46" s="266">
        <v>15000</v>
      </c>
      <c r="T46" s="144"/>
    </row>
    <row r="47" spans="1:21" ht="16.5" customHeight="1" x14ac:dyDescent="0.3">
      <c r="A47" s="199">
        <v>33</v>
      </c>
      <c r="B47" s="68" t="s">
        <v>40</v>
      </c>
      <c r="C47" s="326">
        <v>19000</v>
      </c>
      <c r="D47" s="182">
        <f>SUMIFS(MapFy2024_25!D:D,MapFy2024_25!B:B,'A- Summary Inc_Ex'!B47)</f>
        <v>17131</v>
      </c>
      <c r="E47" s="195">
        <v>19500</v>
      </c>
      <c r="F47" s="180">
        <f>SUMIFS(MapFy2025_26!E:E,MapFy2025_26!B:B,'A- Summary Inc_Ex'!B47)</f>
        <v>12400.41</v>
      </c>
      <c r="G47" s="180">
        <f>SUMIFS(MapFy2025_26!D:D,MapFy2025_26!B:B,'A- Summary Inc_Ex'!B47)</f>
        <v>9554</v>
      </c>
      <c r="H47" s="183">
        <f t="shared" si="17"/>
        <v>0.48994871794871797</v>
      </c>
      <c r="I47" s="161" t="s">
        <v>236</v>
      </c>
      <c r="O47" s="266">
        <v>19500</v>
      </c>
      <c r="P47" s="197">
        <v>0</v>
      </c>
      <c r="Q47" s="262">
        <f t="shared" si="9"/>
        <v>0</v>
      </c>
      <c r="R47" s="144"/>
      <c r="S47" s="266">
        <v>19500</v>
      </c>
      <c r="T47" s="144"/>
    </row>
    <row r="48" spans="1:21" ht="16.5" customHeight="1" x14ac:dyDescent="0.3">
      <c r="A48" s="199">
        <v>34</v>
      </c>
      <c r="B48" s="68" t="s">
        <v>41</v>
      </c>
      <c r="C48" s="267">
        <v>10384</v>
      </c>
      <c r="D48" s="182">
        <f>SUMIFS(MapFy2024_25!D:D,MapFy2024_25!B:B,'A- Summary Inc_Ex'!B48)</f>
        <v>10432</v>
      </c>
      <c r="E48" s="195">
        <v>12350</v>
      </c>
      <c r="F48" s="180">
        <f>SUMIFS(MapFy2025_26!E:E,MapFy2025_26!B:B,'A- Summary Inc_Ex'!B48)</f>
        <v>7867.75</v>
      </c>
      <c r="G48" s="180">
        <f>SUMIFS(MapFy2025_26!D:D,MapFy2025_26!B:B,'A- Summary Inc_Ex'!B48)</f>
        <v>4680.87</v>
      </c>
      <c r="H48" s="183">
        <f t="shared" si="17"/>
        <v>0.37901781376518218</v>
      </c>
      <c r="I48" s="161" t="s">
        <v>236</v>
      </c>
      <c r="O48" s="266">
        <v>12350</v>
      </c>
      <c r="P48" s="197">
        <v>0</v>
      </c>
      <c r="Q48" s="262">
        <f t="shared" si="9"/>
        <v>0</v>
      </c>
      <c r="R48" s="144"/>
      <c r="S48" s="266">
        <v>15000</v>
      </c>
      <c r="T48" s="144"/>
    </row>
    <row r="49" spans="1:21" ht="16.5" customHeight="1" x14ac:dyDescent="0.3">
      <c r="A49" s="199">
        <v>35</v>
      </c>
      <c r="B49" s="68" t="s">
        <v>42</v>
      </c>
      <c r="C49" s="267">
        <v>20000</v>
      </c>
      <c r="D49" s="182">
        <f>SUMIFS(MapFy2024_25!D:D,MapFy2024_25!B:B,'A- Summary Inc_Ex'!B49)</f>
        <v>19431.98</v>
      </c>
      <c r="E49" s="195">
        <v>20000</v>
      </c>
      <c r="F49" s="180">
        <f>SUMIFS(MapFy2025_26!E:E,MapFy2025_26!B:B,'A- Summary Inc_Ex'!B49)</f>
        <v>9963.2000000000007</v>
      </c>
      <c r="G49" s="180">
        <f>SUMIFS(MapFy2025_26!D:D,MapFy2025_26!B:B,'A- Summary Inc_Ex'!B49)</f>
        <v>3504.79</v>
      </c>
      <c r="H49" s="183">
        <f t="shared" si="17"/>
        <v>0.17523949999999999</v>
      </c>
      <c r="I49" s="161"/>
      <c r="O49" s="266">
        <v>20000</v>
      </c>
      <c r="P49" s="197">
        <v>0</v>
      </c>
      <c r="Q49" s="262">
        <f t="shared" si="9"/>
        <v>0</v>
      </c>
      <c r="R49" s="144"/>
      <c r="S49" s="266">
        <v>20000</v>
      </c>
      <c r="T49" s="144"/>
    </row>
    <row r="50" spans="1:21" ht="16.5" customHeight="1" x14ac:dyDescent="0.3">
      <c r="A50" s="164">
        <v>36</v>
      </c>
      <c r="B50" s="66" t="s">
        <v>43</v>
      </c>
      <c r="C50" s="179">
        <v>35000</v>
      </c>
      <c r="D50" s="182">
        <f>SUMIFS(MapFy2024_25!D:D,MapFy2024_25!B:B,'A- Summary Inc_Ex'!B50)</f>
        <v>76900</v>
      </c>
      <c r="E50" s="181">
        <v>55000</v>
      </c>
      <c r="F50" s="180">
        <f>SUMIFS(MapFy2025_26!E:E,MapFy2025_26!B:B,'A- Summary Inc_Ex'!B50)</f>
        <v>23900</v>
      </c>
      <c r="G50" s="180">
        <f>SUMIFS(MapFy2025_26!D:D,MapFy2025_26!B:B,'A- Summary Inc_Ex'!B50)</f>
        <v>27594.78</v>
      </c>
      <c r="H50" s="183">
        <f>IF(E50=0,"",G50/E50)</f>
        <v>0.50172327272727268</v>
      </c>
      <c r="I50" s="161"/>
      <c r="O50" s="261">
        <v>55000</v>
      </c>
      <c r="P50" s="197">
        <v>0</v>
      </c>
      <c r="Q50" s="262">
        <f t="shared" si="9"/>
        <v>0</v>
      </c>
      <c r="R50" s="144"/>
      <c r="S50" s="261">
        <v>55000</v>
      </c>
      <c r="T50" s="144"/>
    </row>
    <row r="51" spans="1:21" ht="15" thickBot="1" x14ac:dyDescent="0.35">
      <c r="A51" s="204">
        <v>37</v>
      </c>
      <c r="B51" s="319" t="s">
        <v>44</v>
      </c>
      <c r="C51" s="273">
        <f>SUM(C43:C50)</f>
        <v>131884</v>
      </c>
      <c r="D51" s="273">
        <f>SUM(D43:D50)</f>
        <v>158843.16999999998</v>
      </c>
      <c r="E51" s="274">
        <f t="shared" ref="E51:G51" si="18">SUM(E43:E50)</f>
        <v>188850</v>
      </c>
      <c r="F51" s="273">
        <f>SUM(F43:F50)</f>
        <v>87003.909999999989</v>
      </c>
      <c r="G51" s="273">
        <f t="shared" si="18"/>
        <v>67541.67</v>
      </c>
      <c r="H51" s="322">
        <f>G51/E51</f>
        <v>0.35764718030182685</v>
      </c>
      <c r="I51" s="169"/>
      <c r="O51" s="276">
        <f t="shared" ref="O51" si="19">SUM(O43:O50)</f>
        <v>196850</v>
      </c>
      <c r="P51" s="327">
        <f>O51-E51</f>
        <v>8000</v>
      </c>
      <c r="Q51" s="328">
        <f t="shared" si="9"/>
        <v>4.0640081280162561E-2</v>
      </c>
      <c r="R51" s="144"/>
      <c r="S51" s="276">
        <f t="shared" ref="S51" si="20">SUM(S43:S50)</f>
        <v>214500</v>
      </c>
      <c r="T51" s="191">
        <f>S51-O51</f>
        <v>17650</v>
      </c>
    </row>
    <row r="52" spans="1:21" ht="36" customHeight="1" x14ac:dyDescent="0.3">
      <c r="A52" s="171">
        <v>38</v>
      </c>
      <c r="B52" s="69" t="s">
        <v>45</v>
      </c>
      <c r="C52" s="264">
        <v>3000</v>
      </c>
      <c r="D52" s="182">
        <f>SUMIFS(MapFy2024_25!D:D,MapFy2024_25!B:B,'A- Summary Inc_Ex'!B52)</f>
        <v>3000</v>
      </c>
      <c r="E52" s="181">
        <v>3000</v>
      </c>
      <c r="F52" s="180">
        <f>SUMIFS(MapFy2025_26!E:E,MapFy2025_26!B:B,'A- Summary Inc_Ex'!B52)</f>
        <v>1500</v>
      </c>
      <c r="G52" s="180">
        <f>SUMIFS(MapFy2025_26!D:D,MapFy2025_26!B:B,'A- Summary Inc_Ex'!B52)</f>
        <v>1500</v>
      </c>
      <c r="H52" s="183">
        <f>IF(E52=0,"",G52/E52)</f>
        <v>0.5</v>
      </c>
      <c r="I52" s="141"/>
      <c r="O52" s="184">
        <v>3000</v>
      </c>
      <c r="P52" s="244">
        <v>0</v>
      </c>
      <c r="Q52" s="329">
        <f t="shared" si="9"/>
        <v>0</v>
      </c>
      <c r="R52" s="144"/>
      <c r="S52" s="184">
        <v>4200</v>
      </c>
      <c r="T52" s="144" t="s">
        <v>1018</v>
      </c>
    </row>
    <row r="53" spans="1:21" ht="16.5" customHeight="1" thickBot="1" x14ac:dyDescent="0.35">
      <c r="A53" s="199">
        <v>39</v>
      </c>
      <c r="B53" s="68" t="s">
        <v>46</v>
      </c>
      <c r="C53" s="267">
        <v>6700</v>
      </c>
      <c r="D53" s="182">
        <f>SUMIFS(MapFy2024_25!D:D,MapFy2024_25!B:B,'A- Summary Inc_Ex'!B53)</f>
        <v>8306.7900000000009</v>
      </c>
      <c r="E53" s="195">
        <v>7000</v>
      </c>
      <c r="F53" s="180">
        <f>SUMIFS(MapFy2025_26!E:E,MapFy2025_26!B:B,'A- Summary Inc_Ex'!B53)</f>
        <v>3486.67</v>
      </c>
      <c r="G53" s="180">
        <f>SUMIFS(MapFy2025_26!D:D,MapFy2025_26!B:B,'A- Summary Inc_Ex'!B53)</f>
        <v>3703.02</v>
      </c>
      <c r="H53" s="183">
        <f t="shared" ref="H53:H55" si="21">IF(E53=0,"",G53/E53)</f>
        <v>0.52900285714285711</v>
      </c>
      <c r="I53" s="161" t="s">
        <v>200</v>
      </c>
      <c r="O53" s="196">
        <v>7000</v>
      </c>
      <c r="P53" s="330">
        <v>0</v>
      </c>
      <c r="Q53" s="262">
        <f t="shared" si="9"/>
        <v>0</v>
      </c>
      <c r="R53" s="144"/>
      <c r="S53" s="196">
        <v>7000</v>
      </c>
      <c r="T53" s="144"/>
    </row>
    <row r="54" spans="1:21" ht="16.5" customHeight="1" thickBot="1" x14ac:dyDescent="0.35">
      <c r="A54" s="199">
        <v>40</v>
      </c>
      <c r="B54" s="68" t="s">
        <v>47</v>
      </c>
      <c r="C54" s="267">
        <v>35000</v>
      </c>
      <c r="D54" s="182">
        <f>SUMIFS(MapFy2024_25!D:D,MapFy2024_25!B:B,'A- Summary Inc_Ex'!B54)</f>
        <v>43185.29</v>
      </c>
      <c r="E54" s="195">
        <v>38000</v>
      </c>
      <c r="F54" s="180">
        <f>SUMIFS(MapFy2025_26!E:E,MapFy2025_26!B:B,'A- Summary Inc_Ex'!B54)</f>
        <v>23696.14</v>
      </c>
      <c r="G54" s="180">
        <f>SUMIFS(MapFy2025_26!D:D,MapFy2025_26!B:B,'A- Summary Inc_Ex'!B54)</f>
        <v>15643.330000000002</v>
      </c>
      <c r="H54" s="183">
        <f t="shared" si="21"/>
        <v>0.41166657894736847</v>
      </c>
      <c r="I54" s="161" t="s">
        <v>201</v>
      </c>
      <c r="O54" s="266">
        <v>40000</v>
      </c>
      <c r="P54" s="331">
        <f>O54-E54</f>
        <v>2000</v>
      </c>
      <c r="Q54" s="262">
        <f t="shared" si="9"/>
        <v>0.05</v>
      </c>
      <c r="R54" s="263" t="s">
        <v>955</v>
      </c>
      <c r="S54" s="266">
        <v>40000</v>
      </c>
      <c r="T54" s="144"/>
    </row>
    <row r="55" spans="1:21" ht="16.5" customHeight="1" x14ac:dyDescent="0.3">
      <c r="A55" s="199">
        <v>41</v>
      </c>
      <c r="B55" s="68" t="s">
        <v>48</v>
      </c>
      <c r="C55" s="267">
        <v>700</v>
      </c>
      <c r="D55" s="182">
        <f>SUMIFS(MapFy2024_25!D:D,MapFy2024_25!B:B,'A- Summary Inc_Ex'!B55)</f>
        <v>532.26</v>
      </c>
      <c r="E55" s="195">
        <v>2000</v>
      </c>
      <c r="F55" s="180">
        <f>SUMIFS(MapFy2025_26!E:E,MapFy2025_26!B:B,'A- Summary Inc_Ex'!B55)</f>
        <v>383.35</v>
      </c>
      <c r="G55" s="180">
        <f>SUMIFS(MapFy2025_26!D:D,MapFy2025_26!B:B,'A- Summary Inc_Ex'!B55)</f>
        <v>174.97</v>
      </c>
      <c r="H55" s="183">
        <f t="shared" si="21"/>
        <v>8.7484999999999993E-2</v>
      </c>
      <c r="I55" s="161" t="s">
        <v>202</v>
      </c>
      <c r="O55" s="266">
        <v>2000</v>
      </c>
      <c r="P55" s="331">
        <v>0</v>
      </c>
      <c r="Q55" s="262">
        <f t="shared" si="9"/>
        <v>0</v>
      </c>
      <c r="R55" s="144"/>
      <c r="S55" s="266">
        <v>2000</v>
      </c>
      <c r="T55" s="144"/>
      <c r="U55" s="269"/>
    </row>
    <row r="56" spans="1:21" ht="16.5" customHeight="1" thickBot="1" x14ac:dyDescent="0.35">
      <c r="A56" s="164">
        <v>42</v>
      </c>
      <c r="B56" s="66" t="s">
        <v>49</v>
      </c>
      <c r="C56" s="179">
        <v>79574</v>
      </c>
      <c r="D56" s="182">
        <f>SUMIFS(MapFy2024_25!D:D,MapFy2024_25!B:B,'A- Summary Inc_Ex'!B56)</f>
        <v>79573.48</v>
      </c>
      <c r="E56" s="181">
        <v>81961.22</v>
      </c>
      <c r="F56" s="180">
        <f>SUMIFS(MapFy2025_26!E:E,MapFy2025_26!B:B,'A- Summary Inc_Ex'!B56)</f>
        <v>39392.82</v>
      </c>
      <c r="G56" s="180">
        <f>SUMIFS(MapFy2025_26!D:D,MapFy2025_26!B:B,'A- Summary Inc_Ex'!B56)</f>
        <v>40574.58</v>
      </c>
      <c r="H56" s="183">
        <f>IF(E56=0,"",G56/E56)</f>
        <v>0.4950460717885849</v>
      </c>
      <c r="I56" s="161" t="s">
        <v>203</v>
      </c>
      <c r="O56" s="261">
        <v>81961.22</v>
      </c>
      <c r="P56" s="331">
        <v>0</v>
      </c>
      <c r="Q56" s="262">
        <f t="shared" si="9"/>
        <v>0</v>
      </c>
      <c r="R56" s="144"/>
      <c r="S56" s="261">
        <v>85000</v>
      </c>
      <c r="T56" s="144" t="s">
        <v>999</v>
      </c>
    </row>
    <row r="57" spans="1:21" ht="15" thickBot="1" x14ac:dyDescent="0.35">
      <c r="A57" s="185">
        <v>43</v>
      </c>
      <c r="B57" s="319" t="s">
        <v>50</v>
      </c>
      <c r="C57" s="273">
        <f>SUM(C52:C56)</f>
        <v>124974</v>
      </c>
      <c r="D57" s="273">
        <f>SUM(D52:D56)</f>
        <v>134597.82</v>
      </c>
      <c r="E57" s="274">
        <f t="shared" ref="E57:G57" si="22">SUM(E52:E56)</f>
        <v>131961.22</v>
      </c>
      <c r="F57" s="273">
        <f>SUM(F52:F56)</f>
        <v>68458.98</v>
      </c>
      <c r="G57" s="273">
        <f t="shared" si="22"/>
        <v>61595.900000000009</v>
      </c>
      <c r="H57" s="322">
        <f>G57/E57</f>
        <v>0.46677273823324766</v>
      </c>
      <c r="I57" s="169"/>
      <c r="O57" s="276">
        <f t="shared" ref="O57" si="23">SUM(O52:O56)</f>
        <v>133961.22</v>
      </c>
      <c r="P57" s="332">
        <f>O57-E57</f>
        <v>2000</v>
      </c>
      <c r="Q57" s="328">
        <f t="shared" si="9"/>
        <v>1.4929693832289674E-2</v>
      </c>
      <c r="R57" s="263"/>
      <c r="S57" s="276">
        <f t="shared" ref="S57" si="24">SUM(S52:S56)</f>
        <v>138200</v>
      </c>
      <c r="T57" s="144"/>
    </row>
    <row r="58" spans="1:21" ht="15" thickBot="1" x14ac:dyDescent="0.35">
      <c r="A58" s="185">
        <v>44</v>
      </c>
      <c r="B58" s="333" t="s">
        <v>51</v>
      </c>
      <c r="C58" s="281">
        <v>8000</v>
      </c>
      <c r="D58" s="281">
        <v>365056</v>
      </c>
      <c r="E58" s="334">
        <v>8000</v>
      </c>
      <c r="F58" s="281">
        <f>SUMIFS(MapFy2025_26!E:E,MapFy2025_26!B:B,'A- Summary Inc_Ex'!B58)</f>
        <v>0</v>
      </c>
      <c r="G58" s="281">
        <f>SUMIFS(MapFy2025_26!D:D,MapFy2025_26!B:B,'A- Summary Inc_Ex'!B58)</f>
        <v>2149.79</v>
      </c>
      <c r="H58" s="183">
        <f>IF(E58=0,"",G58/E58)</f>
        <v>0.26872374999999998</v>
      </c>
      <c r="I58" s="141"/>
      <c r="O58" s="335">
        <v>8000</v>
      </c>
      <c r="P58" s="336">
        <v>0</v>
      </c>
      <c r="Q58" s="329">
        <f t="shared" si="9"/>
        <v>0</v>
      </c>
      <c r="R58" s="144"/>
      <c r="S58" s="335">
        <v>11000</v>
      </c>
      <c r="T58" s="144"/>
    </row>
    <row r="59" spans="1:21" ht="16.2" thickBot="1" x14ac:dyDescent="0.35">
      <c r="A59" s="337">
        <v>45</v>
      </c>
      <c r="B59" s="338" t="s">
        <v>52</v>
      </c>
      <c r="C59" s="306">
        <f>C42+C51+SUM(C57:C58)</f>
        <v>841796.46000000008</v>
      </c>
      <c r="D59" s="306">
        <f>D42+D51+SUM(D57:D58)</f>
        <v>1209958.4400000002</v>
      </c>
      <c r="E59" s="307">
        <f t="shared" ref="E59:G59" si="25">E42+E51+SUM(E57:E58)</f>
        <v>940251.12</v>
      </c>
      <c r="F59" s="306">
        <f>F42+F51+SUM(F57:F58)</f>
        <v>433067.14999999997</v>
      </c>
      <c r="G59" s="306">
        <f t="shared" si="25"/>
        <v>404658.7</v>
      </c>
      <c r="H59" s="339">
        <f>G59/E59</f>
        <v>0.43037300503295334</v>
      </c>
      <c r="I59" s="169"/>
      <c r="J59" s="269"/>
      <c r="L59" s="340"/>
      <c r="M59" s="341"/>
      <c r="O59" s="342">
        <f t="shared" ref="O59" si="26">O42+O51+SUM(O57:O58)</f>
        <v>950251.12</v>
      </c>
      <c r="P59" s="332">
        <f>O59-E59</f>
        <v>10000</v>
      </c>
      <c r="Q59" s="328">
        <f>(O59-E59)/O59</f>
        <v>1.0523534031719952E-2</v>
      </c>
      <c r="R59" s="263"/>
      <c r="S59" s="342">
        <f t="shared" ref="S59" si="27">S42+S51+SUM(S57:S58)</f>
        <v>1079070</v>
      </c>
      <c r="T59" s="343"/>
    </row>
    <row r="60" spans="1:21" ht="13.5" customHeight="1" thickTop="1" x14ac:dyDescent="0.3">
      <c r="A60" s="344"/>
      <c r="B60" s="345"/>
      <c r="C60" s="346"/>
      <c r="D60" s="180"/>
      <c r="E60" s="181"/>
      <c r="F60" s="180"/>
      <c r="G60" s="180"/>
      <c r="H60" s="183"/>
      <c r="I60" s="141"/>
      <c r="O60" s="184"/>
      <c r="P60" s="244"/>
      <c r="Q60" s="329"/>
      <c r="R60" s="347"/>
      <c r="S60" s="184"/>
      <c r="T60" s="144"/>
    </row>
    <row r="61" spans="1:21" ht="15.6" x14ac:dyDescent="0.3">
      <c r="A61" s="348">
        <v>46</v>
      </c>
      <c r="B61" s="349" t="s">
        <v>53</v>
      </c>
      <c r="C61" s="350">
        <f>C18</f>
        <v>1918361.6176500001</v>
      </c>
      <c r="D61" s="350">
        <f>D18</f>
        <v>2299700.2800000003</v>
      </c>
      <c r="E61" s="351">
        <f t="shared" ref="E61:G61" si="28">E18</f>
        <v>2081980</v>
      </c>
      <c r="F61" s="352">
        <f t="shared" si="28"/>
        <v>1651427.4500000002</v>
      </c>
      <c r="G61" s="352">
        <f t="shared" si="28"/>
        <v>1708974.69</v>
      </c>
      <c r="H61" s="208">
        <f>G61/E61</f>
        <v>0.82084106955878533</v>
      </c>
      <c r="I61" s="161"/>
      <c r="O61" s="353">
        <f t="shared" ref="O61" si="29">O18</f>
        <v>2080480</v>
      </c>
      <c r="P61" s="331">
        <f>O61-E61</f>
        <v>-1500</v>
      </c>
      <c r="Q61" s="354">
        <f t="shared" si="9"/>
        <v>-7.2098746443128507E-4</v>
      </c>
      <c r="R61" s="144"/>
      <c r="S61" s="353">
        <f t="shared" ref="S61" si="30">S18</f>
        <v>2210703</v>
      </c>
      <c r="T61" s="144"/>
    </row>
    <row r="62" spans="1:21" ht="15.6" x14ac:dyDescent="0.3">
      <c r="A62" s="204">
        <v>47</v>
      </c>
      <c r="B62" s="355" t="s">
        <v>54</v>
      </c>
      <c r="C62" s="236">
        <f>C35+C59</f>
        <v>1895616.46</v>
      </c>
      <c r="D62" s="236">
        <f>D35+D59</f>
        <v>1975193.2200000002</v>
      </c>
      <c r="E62" s="356">
        <f t="shared" ref="E62:G62" si="31">E35+E59</f>
        <v>2073751.12</v>
      </c>
      <c r="F62" s="236">
        <f t="shared" si="31"/>
        <v>792297.85</v>
      </c>
      <c r="G62" s="236">
        <f t="shared" si="31"/>
        <v>818973.96</v>
      </c>
      <c r="H62" s="208">
        <f>G62/E62</f>
        <v>0.3949239386064804</v>
      </c>
      <c r="I62" s="161"/>
      <c r="O62" s="357">
        <f>O35+O59</f>
        <v>2069851.12</v>
      </c>
      <c r="P62" s="358">
        <f>O62-E62</f>
        <v>-3900</v>
      </c>
      <c r="Q62" s="354">
        <f>(O62-E62)/O62</f>
        <v>-1.8841934873074348E-3</v>
      </c>
      <c r="R62" s="144"/>
      <c r="S62" s="357">
        <f>S35+S59</f>
        <v>2208570</v>
      </c>
      <c r="T62" s="144"/>
    </row>
    <row r="63" spans="1:21" ht="15" thickBot="1" x14ac:dyDescent="0.35">
      <c r="A63" s="204">
        <v>48</v>
      </c>
      <c r="B63" s="359" t="s">
        <v>55</v>
      </c>
      <c r="C63" s="212"/>
      <c r="D63" s="212">
        <v>0</v>
      </c>
      <c r="E63" s="226"/>
      <c r="F63" s="212">
        <v>0</v>
      </c>
      <c r="G63" s="212">
        <v>0</v>
      </c>
      <c r="H63" s="215"/>
      <c r="I63" s="161"/>
      <c r="O63" s="229"/>
      <c r="P63" s="230"/>
      <c r="Q63" s="212"/>
      <c r="R63" s="360"/>
      <c r="S63" s="229"/>
      <c r="T63" s="144"/>
    </row>
    <row r="64" spans="1:21" ht="28.2" x14ac:dyDescent="0.3">
      <c r="A64" s="204">
        <v>49</v>
      </c>
      <c r="B64" s="361" t="s">
        <v>582</v>
      </c>
      <c r="C64" s="362"/>
      <c r="D64" s="363"/>
      <c r="E64" s="364"/>
      <c r="F64" s="363"/>
      <c r="G64" s="363"/>
      <c r="H64" s="365"/>
      <c r="I64" s="161"/>
      <c r="O64" s="366"/>
      <c r="P64" s="367"/>
      <c r="Q64" s="363"/>
      <c r="R64" s="144"/>
      <c r="S64" s="366"/>
      <c r="T64" s="144"/>
    </row>
    <row r="65" spans="1:20" ht="15" thickBot="1" x14ac:dyDescent="0.35">
      <c r="A65" s="204"/>
      <c r="B65" s="359" t="s">
        <v>237</v>
      </c>
      <c r="C65" s="212"/>
      <c r="D65" s="179">
        <f>-SUMIFS(MapFy2024_25!D:D,MapFy2024_25!B:B,'A- Summary Inc_Ex'!B65)</f>
        <v>0</v>
      </c>
      <c r="E65" s="213"/>
      <c r="F65" s="179">
        <f>-SUMIFS(MapFy2024_25!E:E,MapFy2024_25!B:B,'A- Summary Inc_Ex'!B65)</f>
        <v>0</v>
      </c>
      <c r="G65" s="212">
        <f>-SUMIFS(MapFy2025_26!D:D,MapFy2025_26!B:B,'A- Summary Inc_Ex'!B65)</f>
        <v>0</v>
      </c>
      <c r="H65" s="203"/>
      <c r="I65" s="161"/>
      <c r="O65" s="216"/>
      <c r="P65" s="230"/>
      <c r="Q65" s="212"/>
      <c r="R65" s="144"/>
      <c r="S65" s="216"/>
      <c r="T65" s="144"/>
    </row>
    <row r="66" spans="1:20" ht="24.75" customHeight="1" thickBot="1" x14ac:dyDescent="0.35">
      <c r="A66" s="368">
        <v>51</v>
      </c>
      <c r="B66" s="369" t="s">
        <v>58</v>
      </c>
      <c r="C66" s="370">
        <f>C61-C62-C63+C65</f>
        <v>22745.157650000183</v>
      </c>
      <c r="D66" s="370">
        <f>D61-D62-D63+D65</f>
        <v>324507.06000000006</v>
      </c>
      <c r="E66" s="371">
        <f t="shared" ref="E66:G66" si="32">E61-E62-E63+E65</f>
        <v>8228.8799999998882</v>
      </c>
      <c r="F66" s="370">
        <f t="shared" si="32"/>
        <v>859129.60000000021</v>
      </c>
      <c r="G66" s="370">
        <f t="shared" si="32"/>
        <v>890000.73</v>
      </c>
      <c r="H66" s="372"/>
      <c r="I66" s="373"/>
      <c r="J66" s="374"/>
      <c r="K66" s="374"/>
      <c r="L66" s="375"/>
      <c r="M66" s="374"/>
      <c r="N66" s="374"/>
      <c r="O66" s="376">
        <f t="shared" ref="O66" si="33">O61-O62-O63+O65</f>
        <v>10628.879999999888</v>
      </c>
      <c r="P66" s="377"/>
      <c r="Q66" s="377"/>
      <c r="R66" s="378"/>
      <c r="S66" s="376">
        <f t="shared" ref="S66" si="34">S61-S62-S63+S65</f>
        <v>2133</v>
      </c>
      <c r="T66" s="360"/>
    </row>
    <row r="67" spans="1:20" hidden="1" x14ac:dyDescent="0.3">
      <c r="A67" s="104"/>
      <c r="B67" s="379"/>
      <c r="C67" s="244"/>
      <c r="D67" s="244"/>
      <c r="E67" s="380"/>
      <c r="F67" s="244"/>
      <c r="G67" s="244"/>
      <c r="H67" s="245"/>
      <c r="I67" s="381"/>
      <c r="O67" s="244"/>
      <c r="P67" s="244"/>
      <c r="Q67" s="244"/>
      <c r="S67" s="244"/>
    </row>
    <row r="68" spans="1:20" hidden="1" x14ac:dyDescent="0.3">
      <c r="A68" s="382" t="s">
        <v>529</v>
      </c>
      <c r="B68" s="379"/>
      <c r="C68" s="244"/>
      <c r="D68" s="244"/>
      <c r="E68" s="380"/>
      <c r="F68" s="244"/>
      <c r="G68" s="244"/>
      <c r="H68" s="245"/>
      <c r="I68" s="381"/>
      <c r="O68" s="244"/>
      <c r="P68" s="244"/>
      <c r="Q68" s="244"/>
      <c r="S68" s="244"/>
    </row>
    <row r="69" spans="1:20" hidden="1" x14ac:dyDescent="0.3">
      <c r="A69" s="104" t="s">
        <v>530</v>
      </c>
      <c r="B69" s="383" t="s">
        <v>10</v>
      </c>
      <c r="C69" s="175">
        <v>0</v>
      </c>
      <c r="D69" s="175">
        <f>SUMIFS(MapFy2024_25!G:G,MapFy2024_25!E:E,'A- Summary Inc_Ex'!C69)</f>
        <v>0</v>
      </c>
      <c r="E69" s="221"/>
      <c r="F69" s="175">
        <f>SUMIFS(MapFy2025_26!E:E,MapFy2025_26!D:D,B34)</f>
        <v>0</v>
      </c>
      <c r="G69" s="175">
        <f>SUMIFS(MapFy2025_26!D:D,MapFy2025_26!B:B,'A- Summary Inc_Ex'!B69)</f>
        <v>0</v>
      </c>
      <c r="H69" s="245"/>
      <c r="I69" s="381"/>
      <c r="O69" s="175"/>
      <c r="P69" s="244"/>
      <c r="Q69" s="244"/>
      <c r="S69" s="175"/>
    </row>
    <row r="70" spans="1:20" hidden="1" x14ac:dyDescent="0.3">
      <c r="A70" s="104" t="s">
        <v>531</v>
      </c>
      <c r="B70" s="383" t="str">
        <f>"DDA "&amp;B61</f>
        <v>DDA Total Revenues</v>
      </c>
      <c r="C70" s="180">
        <f t="shared" ref="C70:G71" si="35">C61</f>
        <v>1918361.6176500001</v>
      </c>
      <c r="D70" s="180">
        <f t="shared" si="35"/>
        <v>2299700.2800000003</v>
      </c>
      <c r="E70" s="181">
        <f t="shared" si="35"/>
        <v>2081980</v>
      </c>
      <c r="F70" s="180">
        <f t="shared" si="35"/>
        <v>1651427.4500000002</v>
      </c>
      <c r="G70" s="180">
        <f t="shared" si="35"/>
        <v>1708974.69</v>
      </c>
      <c r="H70" s="245"/>
      <c r="I70" s="381"/>
      <c r="O70" s="180">
        <f t="shared" ref="O70" si="36">O61</f>
        <v>2080480</v>
      </c>
      <c r="P70" s="244"/>
      <c r="Q70" s="244"/>
      <c r="S70" s="180">
        <f t="shared" ref="S70:S71" si="37">S61</f>
        <v>2210703</v>
      </c>
    </row>
    <row r="71" spans="1:20" hidden="1" x14ac:dyDescent="0.3">
      <c r="A71" s="104" t="s">
        <v>532</v>
      </c>
      <c r="B71" s="383" t="s">
        <v>533</v>
      </c>
      <c r="C71" s="179">
        <f t="shared" si="35"/>
        <v>1895616.46</v>
      </c>
      <c r="D71" s="179">
        <f t="shared" si="35"/>
        <v>1975193.2200000002</v>
      </c>
      <c r="E71" s="213">
        <f t="shared" si="35"/>
        <v>2073751.12</v>
      </c>
      <c r="F71" s="179">
        <f t="shared" si="35"/>
        <v>792297.85</v>
      </c>
      <c r="G71" s="179">
        <f t="shared" si="35"/>
        <v>818973.96</v>
      </c>
      <c r="H71" s="245"/>
      <c r="I71" s="381"/>
      <c r="O71" s="179">
        <f t="shared" ref="O71" si="38">O62</f>
        <v>2069851.12</v>
      </c>
      <c r="P71" s="244"/>
      <c r="Q71" s="244"/>
      <c r="S71" s="179">
        <f t="shared" si="37"/>
        <v>2208570</v>
      </c>
    </row>
    <row r="72" spans="1:20" ht="28.2" hidden="1" x14ac:dyDescent="0.3">
      <c r="A72" s="104" t="s">
        <v>532</v>
      </c>
      <c r="B72" s="384" t="s">
        <v>534</v>
      </c>
      <c r="C72" s="212">
        <f>C69+C70-C71</f>
        <v>22745.157650000183</v>
      </c>
      <c r="D72" s="212">
        <f>D69+D70-D71</f>
        <v>324507.06000000006</v>
      </c>
      <c r="E72" s="226">
        <f>E69+E70-E71</f>
        <v>8228.8799999998882</v>
      </c>
      <c r="F72" s="212">
        <f>F69+F70-F71</f>
        <v>859129.60000000021</v>
      </c>
      <c r="G72" s="212">
        <f>G69+G70-G71</f>
        <v>890000.73</v>
      </c>
      <c r="H72" s="245"/>
      <c r="I72" s="381"/>
      <c r="O72" s="212">
        <f>O69+O70-O71</f>
        <v>10628.879999999888</v>
      </c>
      <c r="P72" s="244"/>
      <c r="Q72" s="244"/>
      <c r="S72" s="212">
        <f>S69+S70-S71</f>
        <v>2133</v>
      </c>
    </row>
    <row r="73" spans="1:20" ht="30" hidden="1" customHeight="1" x14ac:dyDescent="0.35">
      <c r="A73" s="385" t="s">
        <v>528</v>
      </c>
      <c r="B73" s="386"/>
      <c r="C73" s="387"/>
      <c r="D73" s="387"/>
      <c r="E73" s="388"/>
      <c r="F73" s="387"/>
      <c r="G73" s="244"/>
      <c r="H73" s="245"/>
      <c r="I73" s="381"/>
      <c r="K73" s="389" t="str">
        <f>F3</f>
        <v>Previous
Year toDate
3/31/2025</v>
      </c>
      <c r="L73" s="389" t="str">
        <f>G3</f>
        <v>FY 25_26
 to Date
3/31/2026</v>
      </c>
      <c r="M73" s="389" t="str">
        <f>D3</f>
        <v>Final
FY 24_25
FYE</v>
      </c>
      <c r="O73" s="387"/>
      <c r="P73" s="244"/>
      <c r="Q73" s="244"/>
      <c r="S73" s="387"/>
    </row>
    <row r="74" spans="1:20" hidden="1" x14ac:dyDescent="0.3">
      <c r="A74" s="390" t="s">
        <v>59</v>
      </c>
      <c r="B74" s="391" t="str">
        <f>'DB OSS'!B13</f>
        <v>Total Revenues:</v>
      </c>
      <c r="C74" s="230">
        <f>'DB OSS'!C13</f>
        <v>1090000</v>
      </c>
      <c r="D74" s="212">
        <f>'DB OSS'!D13</f>
        <v>1242743.3400000001</v>
      </c>
      <c r="E74" s="226">
        <f>'DB OSS'!E13</f>
        <v>995000</v>
      </c>
      <c r="F74" s="212">
        <f>'DB OSS'!F13</f>
        <v>590796.64999999991</v>
      </c>
      <c r="G74" s="212">
        <f>'DB OSS'!G13</f>
        <v>509561.52</v>
      </c>
      <c r="H74" s="392"/>
      <c r="I74" s="381"/>
      <c r="O74" s="212">
        <f>'DB OSS'!O13</f>
        <v>978000</v>
      </c>
      <c r="P74" s="244"/>
      <c r="Q74" s="244"/>
      <c r="S74" s="212">
        <f>'DB OSS'!S13</f>
        <v>1050000</v>
      </c>
    </row>
    <row r="75" spans="1:20" hidden="1" x14ac:dyDescent="0.3">
      <c r="A75" s="390" t="s">
        <v>60</v>
      </c>
      <c r="B75" s="393" t="s">
        <v>61</v>
      </c>
      <c r="C75" s="230">
        <f>'DB OSS'!C62</f>
        <v>1239000</v>
      </c>
      <c r="D75" s="394">
        <f>'DB OSS'!D62</f>
        <v>1332196.3500000001</v>
      </c>
      <c r="E75" s="395">
        <f>'DB OSS'!E62</f>
        <v>1094500</v>
      </c>
      <c r="F75" s="394">
        <f>'DB OSS'!F62</f>
        <v>558132.65999999992</v>
      </c>
      <c r="G75" s="394">
        <f>'DB OSS'!G62</f>
        <v>547179.94000000006</v>
      </c>
      <c r="H75" s="392"/>
      <c r="I75" s="381"/>
      <c r="O75" s="394">
        <f>'DB OSS'!O62</f>
        <v>983000</v>
      </c>
      <c r="P75" s="244"/>
      <c r="Q75" s="244"/>
      <c r="S75" s="394">
        <f>'DB OSS'!S62</f>
        <v>1045000</v>
      </c>
    </row>
    <row r="76" spans="1:20" ht="16.2" hidden="1" thickBot="1" x14ac:dyDescent="0.35">
      <c r="A76" s="396" t="s">
        <v>62</v>
      </c>
      <c r="B76" s="397" t="s">
        <v>63</v>
      </c>
      <c r="C76" s="398">
        <f>C74-C75</f>
        <v>-149000</v>
      </c>
      <c r="D76" s="398">
        <f>D74-D75</f>
        <v>-89453.010000000009</v>
      </c>
      <c r="E76" s="399">
        <f>E74-E75</f>
        <v>-99500</v>
      </c>
      <c r="F76" s="398">
        <f>F74-F75</f>
        <v>32663.989999999991</v>
      </c>
      <c r="G76" s="398">
        <f>G74-G75</f>
        <v>-37618.420000000042</v>
      </c>
      <c r="H76" s="400"/>
      <c r="I76" s="401"/>
      <c r="K76" s="269">
        <f>F66+F76</f>
        <v>891793.5900000002</v>
      </c>
      <c r="L76" s="269">
        <f>G66+G76</f>
        <v>852382.30999999994</v>
      </c>
      <c r="M76" s="269">
        <f>D66+D76</f>
        <v>235054.05000000005</v>
      </c>
      <c r="N76" s="269" t="s">
        <v>535</v>
      </c>
      <c r="O76" s="398">
        <f>O74-O75</f>
        <v>-5000</v>
      </c>
      <c r="P76" s="402"/>
      <c r="Q76" s="402"/>
      <c r="S76" s="398">
        <f>S74-S75</f>
        <v>5000</v>
      </c>
    </row>
    <row r="77" spans="1:20" ht="15.6" hidden="1" x14ac:dyDescent="0.3">
      <c r="A77" s="379"/>
      <c r="B77" s="403"/>
      <c r="C77" s="402"/>
      <c r="D77" s="402"/>
      <c r="E77" s="404"/>
      <c r="F77" s="402"/>
      <c r="G77" s="402"/>
      <c r="H77" s="405"/>
      <c r="K77" s="406">
        <f>F69+F79</f>
        <v>225203</v>
      </c>
      <c r="L77" s="406">
        <f>G69+G79</f>
        <v>135750</v>
      </c>
      <c r="M77" s="406">
        <f>D69+D79</f>
        <v>225203</v>
      </c>
      <c r="N77" s="269" t="s">
        <v>536</v>
      </c>
      <c r="O77" s="402"/>
      <c r="P77" s="402"/>
      <c r="Q77" s="402"/>
      <c r="S77" s="402"/>
    </row>
    <row r="78" spans="1:20" ht="15.6" hidden="1" x14ac:dyDescent="0.3">
      <c r="A78" s="379" t="s">
        <v>527</v>
      </c>
      <c r="B78" s="403"/>
      <c r="C78" s="402"/>
      <c r="D78" s="402"/>
      <c r="E78" s="404"/>
      <c r="F78" s="402"/>
      <c r="G78" s="402"/>
      <c r="H78" s="405"/>
      <c r="K78" s="269">
        <f>SUM(K76:K77)</f>
        <v>1116996.5900000003</v>
      </c>
      <c r="L78" s="269">
        <f>SUM(L76:L77)</f>
        <v>988132.30999999994</v>
      </c>
      <c r="M78" s="269">
        <f>SUM(M76:M77)</f>
        <v>460257.05000000005</v>
      </c>
      <c r="N78" s="269" t="s">
        <v>562</v>
      </c>
      <c r="O78" s="402"/>
      <c r="P78" s="402"/>
      <c r="Q78" s="402"/>
      <c r="S78" s="402"/>
    </row>
    <row r="79" spans="1:20" ht="15.6" hidden="1" x14ac:dyDescent="0.3">
      <c r="A79" s="228" t="s">
        <v>522</v>
      </c>
      <c r="B79" s="407" t="str">
        <f>'DB OSS'!B65</f>
        <v>OSS Revenue Brought Forward from Prev FY</v>
      </c>
      <c r="C79" s="212">
        <f>'DB OSS'!C65</f>
        <v>200000</v>
      </c>
      <c r="D79" s="212">
        <f>'DB OSS'!D65</f>
        <v>225203</v>
      </c>
      <c r="E79" s="226">
        <f>'DB OSS'!E65</f>
        <v>160000</v>
      </c>
      <c r="F79" s="212">
        <f>'DB OSS'!F65</f>
        <v>225203</v>
      </c>
      <c r="G79" s="212">
        <f>'DB OSS'!G65</f>
        <v>135750</v>
      </c>
      <c r="K79" s="269">
        <f>MapFy2025_26!I153</f>
        <v>991491.98</v>
      </c>
      <c r="L79" s="269">
        <f>MapFy2025_26!H153</f>
        <v>857909.15</v>
      </c>
      <c r="M79" s="269">
        <f>MapFy2024_25!H160</f>
        <v>224384.36</v>
      </c>
      <c r="N79" s="136" t="s">
        <v>538</v>
      </c>
      <c r="O79" s="212">
        <f>'DB OSS'!O65</f>
        <v>160000</v>
      </c>
      <c r="P79" s="244"/>
      <c r="Q79" s="244"/>
      <c r="S79" s="212">
        <f>'DB OSS'!S65</f>
        <v>160000</v>
      </c>
    </row>
    <row r="80" spans="1:20" ht="15.6" hidden="1" x14ac:dyDescent="0.3">
      <c r="A80" s="408" t="s">
        <v>523</v>
      </c>
      <c r="B80" s="409" t="str">
        <f>"OSS "&amp;'DB OSS'!B66</f>
        <v>OSS Total Revenues:</v>
      </c>
      <c r="C80" s="212">
        <f>'DB OSS'!C66</f>
        <v>1090000</v>
      </c>
      <c r="D80" s="410">
        <f>'DB OSS'!D66</f>
        <v>1242743.3400000001</v>
      </c>
      <c r="E80" s="226">
        <f>'DB OSS'!E66</f>
        <v>995000</v>
      </c>
      <c r="F80" s="410">
        <f>'DB OSS'!F66</f>
        <v>590796.64999999991</v>
      </c>
      <c r="G80" s="410">
        <f>'DB OSS'!G66</f>
        <v>509561.52</v>
      </c>
      <c r="O80" s="212">
        <f>'DB OSS'!O66</f>
        <v>978000</v>
      </c>
      <c r="P80" s="244"/>
      <c r="Q80" s="244"/>
      <c r="S80" s="212">
        <f>'DB OSS'!S66</f>
        <v>1050000</v>
      </c>
    </row>
    <row r="81" spans="1:19" ht="15.6" hidden="1" x14ac:dyDescent="0.3">
      <c r="A81" s="228" t="s">
        <v>524</v>
      </c>
      <c r="B81" s="407" t="str">
        <f>B75</f>
        <v>Less Delray Beach Old School Square Expenses</v>
      </c>
      <c r="C81" s="212">
        <f>'DB OSS'!C67</f>
        <v>1239000</v>
      </c>
      <c r="D81" s="212">
        <f>'DB OSS'!D67</f>
        <v>1332196.3500000001</v>
      </c>
      <c r="E81" s="226">
        <f>'DB OSS'!E67</f>
        <v>1094500</v>
      </c>
      <c r="F81" s="212">
        <f>'DB OSS'!F67</f>
        <v>558132.65999999992</v>
      </c>
      <c r="G81" s="212">
        <f>'DB OSS'!G67</f>
        <v>547179.94000000006</v>
      </c>
      <c r="K81" s="269">
        <f>K78-K79</f>
        <v>125504.61000000034</v>
      </c>
      <c r="L81" s="269">
        <f>L78-L79</f>
        <v>130223.15999999992</v>
      </c>
      <c r="M81" s="269">
        <f>M78-M79</f>
        <v>235872.69000000006</v>
      </c>
      <c r="N81" s="269" t="s">
        <v>537</v>
      </c>
      <c r="O81" s="212">
        <f>'DB OSS'!O67</f>
        <v>983000</v>
      </c>
      <c r="P81" s="244"/>
      <c r="Q81" s="244"/>
      <c r="S81" s="212">
        <f>'DB OSS'!S67</f>
        <v>1045000</v>
      </c>
    </row>
    <row r="82" spans="1:19" ht="16.2" hidden="1" thickBot="1" x14ac:dyDescent="0.35">
      <c r="A82" s="411" t="s">
        <v>526</v>
      </c>
      <c r="B82" s="412" t="str">
        <f>'DB OSS'!B68</f>
        <v>OSS Net Income with Revenue Brought Forward from PY</v>
      </c>
      <c r="C82" s="212">
        <f>'DB OSS'!C68</f>
        <v>51000</v>
      </c>
      <c r="D82" s="413">
        <f>'DB OSS'!D68</f>
        <v>135749.99</v>
      </c>
      <c r="E82" s="414">
        <f>'DB OSS'!E68</f>
        <v>60500</v>
      </c>
      <c r="F82" s="413">
        <f>'DB OSS'!F68</f>
        <v>257866.99</v>
      </c>
      <c r="G82" s="413">
        <f>'DB OSS'!G68</f>
        <v>98131.579999999958</v>
      </c>
      <c r="K82" s="415"/>
      <c r="O82" s="413">
        <f>'DB OSS'!O68</f>
        <v>155000</v>
      </c>
      <c r="P82" s="244"/>
      <c r="Q82" s="244"/>
      <c r="S82" s="413">
        <f>'DB OSS'!S68</f>
        <v>165000</v>
      </c>
    </row>
    <row r="83" spans="1:19" hidden="1" x14ac:dyDescent="0.3"/>
    <row r="84" spans="1:19" hidden="1" x14ac:dyDescent="0.3"/>
  </sheetData>
  <mergeCells count="2">
    <mergeCell ref="A19:B19"/>
    <mergeCell ref="A1:T1"/>
  </mergeCells>
  <printOptions headings="1"/>
  <pageMargins left="0.25" right="0.25" top="0.75" bottom="0.75" header="0.3" footer="0.3"/>
  <pageSetup scale="85" orientation="landscape" verticalDpi="598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1"/>
  <sheetViews>
    <sheetView zoomScaleNormal="100" workbookViewId="0">
      <selection activeCell="B2" sqref="B2"/>
    </sheetView>
  </sheetViews>
  <sheetFormatPr defaultRowHeight="14.4" x14ac:dyDescent="0.3"/>
  <cols>
    <col min="1" max="1" width="6.88671875" style="136" customWidth="1"/>
    <col min="2" max="2" width="40.88671875" style="136" customWidth="1"/>
    <col min="3" max="3" width="13.33203125" style="136" hidden="1" customWidth="1"/>
    <col min="4" max="4" width="14" style="136" customWidth="1"/>
    <col min="5" max="6" width="14" style="136" hidden="1" customWidth="1"/>
    <col min="7" max="7" width="13.109375" style="136" hidden="1" customWidth="1"/>
    <col min="8" max="8" width="11" style="136" hidden="1" customWidth="1"/>
    <col min="9" max="9" width="13.109375" style="136" hidden="1" customWidth="1"/>
    <col min="10" max="10" width="14" style="136" customWidth="1"/>
    <col min="11" max="11" width="14" style="136" hidden="1" customWidth="1"/>
    <col min="12" max="12" width="0.109375" style="136" customWidth="1"/>
    <col min="13" max="13" width="14" style="136" customWidth="1"/>
    <col min="14" max="14" width="20.44140625" style="382" hidden="1" customWidth="1"/>
    <col min="15" max="16384" width="8.88671875" style="136"/>
  </cols>
  <sheetData>
    <row r="1" spans="1:14" ht="21.75" customHeight="1" x14ac:dyDescent="0.3">
      <c r="A1" s="124" t="s">
        <v>1035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6"/>
    </row>
    <row r="2" spans="1:14" ht="15" thickBot="1" x14ac:dyDescent="0.35">
      <c r="A2" s="210"/>
      <c r="B2" s="417" t="s">
        <v>1040</v>
      </c>
      <c r="C2" s="418"/>
      <c r="D2" s="419"/>
      <c r="E2" s="419"/>
      <c r="F2" s="419"/>
      <c r="G2" s="419"/>
      <c r="H2" s="419"/>
      <c r="I2" s="420"/>
      <c r="J2" s="421"/>
      <c r="K2" s="421"/>
      <c r="L2" s="422"/>
      <c r="M2" s="421"/>
      <c r="N2" s="423"/>
    </row>
    <row r="3" spans="1:14" ht="52.2" customHeight="1" thickBot="1" x14ac:dyDescent="0.35">
      <c r="A3" s="210"/>
      <c r="B3" s="424" t="s">
        <v>65</v>
      </c>
      <c r="C3" s="425" t="str">
        <f>'A- Summary Inc_Ex'!C3</f>
        <v>APPROVED Amended  Budget 2024_25</v>
      </c>
      <c r="D3" s="426" t="str">
        <f>'A- Summary Inc_Ex'!D3</f>
        <v>Final
FY 24_25
FYE</v>
      </c>
      <c r="E3" s="427" t="str">
        <f>'A- Summary Inc_Ex'!E3</f>
        <v>FY2025/26 ADOPTED BUDGET</v>
      </c>
      <c r="F3" s="428" t="str">
        <f>'A- Summary Inc_Ex'!F3</f>
        <v>Previous
Year toDate
3/31/2025</v>
      </c>
      <c r="G3" s="429" t="str">
        <f>'A- Summary Inc_Ex'!G3</f>
        <v>FY 25_26
 to Date
3/31/2026</v>
      </c>
      <c r="H3" s="426" t="str">
        <f>'A- Summary Inc_Ex'!H3</f>
        <v>Percentage of Adopted Budget</v>
      </c>
      <c r="I3" s="430"/>
      <c r="J3" s="431" t="s">
        <v>989</v>
      </c>
      <c r="K3" s="432" t="str">
        <f>'A- Summary Inc_Ex'!P3</f>
        <v>Amount of Change</v>
      </c>
      <c r="L3" s="433" t="str">
        <f>'A- Summary Inc_Ex'!Q3</f>
        <v>Percentage of change</v>
      </c>
      <c r="M3" s="434" t="str">
        <f>'Top Line Rep'!K3</f>
        <v>FY 2026-2027 ADOPTED BUDGET</v>
      </c>
      <c r="N3" s="435" t="s">
        <v>216</v>
      </c>
    </row>
    <row r="4" spans="1:14" x14ac:dyDescent="0.3">
      <c r="A4" s="436"/>
      <c r="B4" s="437" t="s">
        <v>66</v>
      </c>
      <c r="C4" s="438"/>
      <c r="D4" s="142"/>
      <c r="E4" s="439"/>
      <c r="F4" s="139"/>
      <c r="G4" s="142"/>
      <c r="H4" s="440"/>
      <c r="I4" s="441"/>
      <c r="J4" s="442"/>
      <c r="K4" s="443"/>
      <c r="L4" s="443"/>
      <c r="M4" s="442"/>
      <c r="N4" s="423"/>
    </row>
    <row r="5" spans="1:14" ht="28.2" x14ac:dyDescent="0.3">
      <c r="A5" s="171">
        <v>1</v>
      </c>
      <c r="B5" s="5" t="s">
        <v>67</v>
      </c>
      <c r="C5" s="267">
        <v>50000</v>
      </c>
      <c r="D5" s="184">
        <f>SUMIFS(MapFy2024_25!D:D,MapFy2024_25!B:B,'B- Marketing &amp; Adverts'!B5)</f>
        <v>57851.77</v>
      </c>
      <c r="E5" s="444">
        <v>50000</v>
      </c>
      <c r="F5" s="180">
        <f>SUMIFS(MapFy2025_26!E:E,MapFy2025_26!B:B,'B- Marketing &amp; Adverts'!B5)</f>
        <v>28875</v>
      </c>
      <c r="G5" s="184">
        <f>SUMIFS(MapFy2025_26!D:D,MapFy2025_26!B:B,'B- Marketing &amp; Adverts'!B5)</f>
        <v>29871.84</v>
      </c>
      <c r="H5" s="445">
        <f>IF(E5=0,"",G5/E5)</f>
        <v>0.59743679999999999</v>
      </c>
      <c r="I5" s="104"/>
      <c r="J5" s="446">
        <v>50000</v>
      </c>
      <c r="K5" s="446">
        <f>J5-E5</f>
        <v>0</v>
      </c>
      <c r="L5" s="447">
        <f>(J5-E5)/J5</f>
        <v>0</v>
      </c>
      <c r="M5" s="446">
        <v>55000</v>
      </c>
      <c r="N5" s="144" t="s">
        <v>1019</v>
      </c>
    </row>
    <row r="6" spans="1:14" x14ac:dyDescent="0.3">
      <c r="A6" s="164">
        <v>2</v>
      </c>
      <c r="B6" s="6" t="s">
        <v>68</v>
      </c>
      <c r="C6" s="448">
        <v>5000</v>
      </c>
      <c r="D6" s="184">
        <f>SUMIFS(MapFy2024_25!D:D,MapFy2024_25!B:B,'B- Marketing &amp; Adverts'!B6)</f>
        <v>5754.36</v>
      </c>
      <c r="E6" s="444">
        <v>10000</v>
      </c>
      <c r="F6" s="180">
        <f>SUMIFS(MapFy2025_26!E:E,MapFy2025_26!B:B,'B- Marketing &amp; Adverts'!B6)</f>
        <v>1419.95</v>
      </c>
      <c r="G6" s="184">
        <f>SUMIFS(MapFy2025_26!D:D,MapFy2025_26!B:B,'B- Marketing &amp; Adverts'!B6)</f>
        <v>1722.41</v>
      </c>
      <c r="H6" s="445">
        <f>IF(E6=0,"",G6/E6)</f>
        <v>0.17224100000000001</v>
      </c>
      <c r="I6" s="104"/>
      <c r="J6" s="446">
        <v>10000</v>
      </c>
      <c r="K6" s="449">
        <f t="shared" ref="K6:K23" si="0">J6-E6</f>
        <v>0</v>
      </c>
      <c r="L6" s="450">
        <f>(J6-E6)/J6</f>
        <v>0</v>
      </c>
      <c r="M6" s="446">
        <v>10000</v>
      </c>
      <c r="N6" s="162" t="s">
        <v>1020</v>
      </c>
    </row>
    <row r="7" spans="1:14" ht="15" thickBot="1" x14ac:dyDescent="0.35">
      <c r="A7" s="185">
        <v>3</v>
      </c>
      <c r="B7" s="111" t="s">
        <v>406</v>
      </c>
      <c r="C7" s="320">
        <f>SUM(C5:C6)</f>
        <v>55000</v>
      </c>
      <c r="D7" s="323">
        <f>SUM(D5:D6)</f>
        <v>63606.13</v>
      </c>
      <c r="E7" s="321">
        <f t="shared" ref="E7:G7" si="1">SUM(E5:E6)</f>
        <v>60000</v>
      </c>
      <c r="F7" s="320">
        <f t="shared" si="1"/>
        <v>30294.95</v>
      </c>
      <c r="G7" s="320">
        <f t="shared" si="1"/>
        <v>31594.25</v>
      </c>
      <c r="H7" s="451">
        <f>IF(E7=0,"",G7/E7)</f>
        <v>0.52657083333333332</v>
      </c>
      <c r="I7" s="452"/>
      <c r="J7" s="453">
        <f t="shared" ref="J7" si="2">SUM(J5:J6)</f>
        <v>60000</v>
      </c>
      <c r="K7" s="454">
        <f t="shared" si="0"/>
        <v>0</v>
      </c>
      <c r="L7" s="455">
        <f>(J7-E7)/J7</f>
        <v>0</v>
      </c>
      <c r="M7" s="453">
        <f t="shared" ref="M7" si="3">SUM(M5:M6)</f>
        <v>65000</v>
      </c>
      <c r="N7" s="423"/>
    </row>
    <row r="8" spans="1:14" x14ac:dyDescent="0.3">
      <c r="A8" s="185">
        <v>4</v>
      </c>
      <c r="B8" s="456" t="s">
        <v>69</v>
      </c>
      <c r="C8" s="180"/>
      <c r="D8" s="184"/>
      <c r="E8" s="444"/>
      <c r="F8" s="180"/>
      <c r="G8" s="184"/>
      <c r="H8" s="445"/>
      <c r="I8" s="104"/>
      <c r="J8" s="446"/>
      <c r="K8" s="446"/>
      <c r="L8" s="447"/>
      <c r="M8" s="446"/>
      <c r="N8" s="423"/>
    </row>
    <row r="9" spans="1:14" ht="15" thickBot="1" x14ac:dyDescent="0.35">
      <c r="A9" s="185">
        <v>5</v>
      </c>
      <c r="B9" s="7" t="s">
        <v>70</v>
      </c>
      <c r="C9" s="180">
        <v>6000</v>
      </c>
      <c r="D9" s="184">
        <f>SUMIFS(MapFy2024_25!D:D,MapFy2024_25!B:B,'B- Marketing &amp; Adverts'!B9)</f>
        <v>5175.3999999999996</v>
      </c>
      <c r="E9" s="444">
        <v>10000</v>
      </c>
      <c r="F9" s="180">
        <f>SUMIFS(MapFy2025_26!E:E,MapFy2025_26!B:B,'B- Marketing &amp; Adverts'!B9)</f>
        <v>1575</v>
      </c>
      <c r="G9" s="184">
        <f>SUMIFS(MapFy2025_26!D:D,MapFy2025_26!B:B,'B- Marketing &amp; Adverts'!B9)</f>
        <v>1200</v>
      </c>
      <c r="H9" s="445">
        <f>IF(E9=0,"",G9/E9)</f>
        <v>0.12</v>
      </c>
      <c r="I9" s="104"/>
      <c r="J9" s="457">
        <v>15000</v>
      </c>
      <c r="K9" s="458">
        <f t="shared" si="0"/>
        <v>5000</v>
      </c>
      <c r="L9" s="459">
        <f>(J9-E9)/J9</f>
        <v>0.33333333333333331</v>
      </c>
      <c r="M9" s="457">
        <v>10000</v>
      </c>
      <c r="N9" s="162" t="s">
        <v>1021</v>
      </c>
    </row>
    <row r="10" spans="1:14" ht="15" thickBot="1" x14ac:dyDescent="0.35">
      <c r="A10" s="185">
        <v>6</v>
      </c>
      <c r="B10" s="110" t="s">
        <v>406</v>
      </c>
      <c r="C10" s="320">
        <f>SUM(C9)</f>
        <v>6000</v>
      </c>
      <c r="D10" s="323">
        <f>SUM(D9)</f>
        <v>5175.3999999999996</v>
      </c>
      <c r="E10" s="321">
        <f t="shared" ref="E10:G10" si="4">SUM(E9)</f>
        <v>10000</v>
      </c>
      <c r="F10" s="320">
        <f t="shared" si="4"/>
        <v>1575</v>
      </c>
      <c r="G10" s="320">
        <f t="shared" si="4"/>
        <v>1200</v>
      </c>
      <c r="H10" s="451">
        <f>IF(E10=0,"",G10/E10)</f>
        <v>0.12</v>
      </c>
      <c r="I10" s="452"/>
      <c r="J10" s="460">
        <f t="shared" ref="J10" si="5">SUM(J9)</f>
        <v>15000</v>
      </c>
      <c r="K10" s="461">
        <f t="shared" si="0"/>
        <v>5000</v>
      </c>
      <c r="L10" s="462">
        <f>(J10-E10)/J10</f>
        <v>0.33333333333333331</v>
      </c>
      <c r="M10" s="460">
        <f t="shared" ref="M10" si="6">SUM(M9)</f>
        <v>10000</v>
      </c>
      <c r="N10" s="423"/>
    </row>
    <row r="11" spans="1:14" ht="15" thickBot="1" x14ac:dyDescent="0.35">
      <c r="A11" s="185">
        <v>7</v>
      </c>
      <c r="B11" s="463" t="s">
        <v>231</v>
      </c>
      <c r="C11" s="180"/>
      <c r="D11" s="184"/>
      <c r="E11" s="444"/>
      <c r="F11" s="180"/>
      <c r="G11" s="184"/>
      <c r="H11" s="445"/>
      <c r="I11" s="104"/>
      <c r="J11" s="457"/>
      <c r="K11" s="457"/>
      <c r="L11" s="462"/>
      <c r="M11" s="457"/>
      <c r="N11" s="423"/>
    </row>
    <row r="12" spans="1:14" ht="15" thickBot="1" x14ac:dyDescent="0.35">
      <c r="A12" s="185">
        <v>8</v>
      </c>
      <c r="B12" s="7" t="s">
        <v>71</v>
      </c>
      <c r="C12" s="179">
        <v>50000</v>
      </c>
      <c r="D12" s="216">
        <f>SUMIFS(MapFy2024_25!D:D,MapFy2024_25!B:B,'B- Marketing &amp; Adverts'!B12)</f>
        <v>53011.86</v>
      </c>
      <c r="E12" s="464">
        <v>52000</v>
      </c>
      <c r="F12" s="179">
        <f>SUMIFS(MapFy2025_26!E:E,MapFy2025_26!B:B,'B- Marketing &amp; Adverts'!B12)</f>
        <v>26599.9</v>
      </c>
      <c r="G12" s="216">
        <f>SUMIFS(MapFy2025_26!D:D,MapFy2025_26!B:B,'B- Marketing &amp; Adverts'!B12)</f>
        <v>25211.22</v>
      </c>
      <c r="H12" s="445">
        <f>IF(E12=0,"",G12/E12)</f>
        <v>0.48483115384615388</v>
      </c>
      <c r="I12" s="104"/>
      <c r="J12" s="458">
        <v>57000</v>
      </c>
      <c r="K12" s="458">
        <f t="shared" si="0"/>
        <v>5000</v>
      </c>
      <c r="L12" s="462">
        <f t="shared" ref="L12:L13" si="7">(J12-E12)/J12</f>
        <v>8.771929824561403E-2</v>
      </c>
      <c r="M12" s="458">
        <v>50000</v>
      </c>
      <c r="N12" s="162" t="s">
        <v>1022</v>
      </c>
    </row>
    <row r="13" spans="1:14" ht="15" thickBot="1" x14ac:dyDescent="0.35">
      <c r="A13" s="185">
        <v>9</v>
      </c>
      <c r="B13" s="110" t="s">
        <v>987</v>
      </c>
      <c r="C13" s="320">
        <f t="shared" ref="C13:G13" si="8">SUM(C12)</f>
        <v>50000</v>
      </c>
      <c r="D13" s="320">
        <f>SUM(D12)</f>
        <v>53011.86</v>
      </c>
      <c r="E13" s="465">
        <f t="shared" si="8"/>
        <v>52000</v>
      </c>
      <c r="F13" s="288">
        <f t="shared" si="8"/>
        <v>26599.9</v>
      </c>
      <c r="G13" s="288">
        <f t="shared" si="8"/>
        <v>25211.22</v>
      </c>
      <c r="H13" s="451">
        <f>IF(E13=0,"",G13/E13)</f>
        <v>0.48483115384615388</v>
      </c>
      <c r="I13" s="452"/>
      <c r="J13" s="466">
        <f t="shared" ref="J13" si="9">SUM(J12)</f>
        <v>57000</v>
      </c>
      <c r="K13" s="461">
        <f t="shared" si="0"/>
        <v>5000</v>
      </c>
      <c r="L13" s="462">
        <f t="shared" si="7"/>
        <v>8.771929824561403E-2</v>
      </c>
      <c r="M13" s="466">
        <f t="shared" ref="M13" si="10">SUM(M12)</f>
        <v>50000</v>
      </c>
      <c r="N13" s="162"/>
    </row>
    <row r="14" spans="1:14" x14ac:dyDescent="0.3">
      <c r="A14" s="185">
        <v>10</v>
      </c>
      <c r="B14" s="467" t="s">
        <v>72</v>
      </c>
      <c r="C14" s="180"/>
      <c r="D14" s="184"/>
      <c r="E14" s="444"/>
      <c r="F14" s="180"/>
      <c r="G14" s="184"/>
      <c r="H14" s="445"/>
      <c r="I14" s="104"/>
      <c r="J14" s="457"/>
      <c r="K14" s="457"/>
      <c r="L14" s="468"/>
      <c r="M14" s="457"/>
      <c r="N14" s="162"/>
    </row>
    <row r="15" spans="1:14" x14ac:dyDescent="0.3">
      <c r="A15" s="171">
        <v>11</v>
      </c>
      <c r="B15" s="8" t="s">
        <v>73</v>
      </c>
      <c r="C15" s="180">
        <v>15000</v>
      </c>
      <c r="D15" s="184">
        <f>SUMIFS(MapFy2024_25!D:D,MapFy2024_25!B:B,'B- Marketing &amp; Adverts'!B15)</f>
        <v>6120</v>
      </c>
      <c r="E15" s="444">
        <v>15000</v>
      </c>
      <c r="F15" s="180">
        <f>SUMIFS(MapFy2025_26!E:E,MapFy2025_26!B:B,'B- Marketing &amp; Adverts'!B15)</f>
        <v>0</v>
      </c>
      <c r="G15" s="184">
        <f>SUMIFS(MapFy2025_26!D:D,MapFy2025_26!B:B,'B- Marketing &amp; Adverts'!B15)</f>
        <v>4831.78</v>
      </c>
      <c r="H15" s="445">
        <f>IF(E15=0,"",G15/E15)</f>
        <v>0.32211866666666666</v>
      </c>
      <c r="I15" s="104"/>
      <c r="J15" s="457">
        <v>15000</v>
      </c>
      <c r="K15" s="457">
        <f t="shared" si="0"/>
        <v>0</v>
      </c>
      <c r="L15" s="468">
        <f>(J15-E15)/J15</f>
        <v>0</v>
      </c>
      <c r="M15" s="457">
        <v>12000</v>
      </c>
      <c r="N15" s="162" t="s">
        <v>1005</v>
      </c>
    </row>
    <row r="16" spans="1:14" ht="15" thickBot="1" x14ac:dyDescent="0.35">
      <c r="A16" s="296">
        <v>12</v>
      </c>
      <c r="B16" s="115" t="s">
        <v>74</v>
      </c>
      <c r="C16" s="469">
        <v>5000</v>
      </c>
      <c r="D16" s="470">
        <f>SUMIFS(MapFy2024_25!D:D,MapFy2024_25!B:B,'B- Marketing &amp; Adverts'!B16)</f>
        <v>7872.9</v>
      </c>
      <c r="E16" s="471">
        <v>5000</v>
      </c>
      <c r="F16" s="469">
        <f>SUMIFS(MapFy2025_26!E:E,MapFy2025_26!B:B,'B- Marketing &amp; Adverts'!B16)</f>
        <v>1000</v>
      </c>
      <c r="G16" s="470">
        <f>SUMIFS(MapFy2025_26!D:D,MapFy2025_26!B:B,'B- Marketing &amp; Adverts'!B16)</f>
        <v>611</v>
      </c>
      <c r="H16" s="472">
        <f>IF(E16=0,"",G16/E16)</f>
        <v>0.1222</v>
      </c>
      <c r="I16" s="473"/>
      <c r="J16" s="461">
        <v>5000</v>
      </c>
      <c r="K16" s="461">
        <f t="shared" si="0"/>
        <v>0</v>
      </c>
      <c r="L16" s="459">
        <f>(J16-E16)/J16</f>
        <v>0</v>
      </c>
      <c r="M16" s="461">
        <v>5000</v>
      </c>
      <c r="N16" s="162" t="s">
        <v>1023</v>
      </c>
    </row>
    <row r="17" spans="1:14" ht="15" thickBot="1" x14ac:dyDescent="0.35">
      <c r="A17" s="164">
        <v>13</v>
      </c>
      <c r="B17" s="114" t="s">
        <v>987</v>
      </c>
      <c r="C17" s="469">
        <f>SUM(C15:C16)</f>
        <v>20000</v>
      </c>
      <c r="D17" s="470">
        <f>SUM(D15:D16)</f>
        <v>13992.9</v>
      </c>
      <c r="E17" s="465">
        <f t="shared" ref="E17:G17" si="11">SUM(E15:E16)</f>
        <v>20000</v>
      </c>
      <c r="F17" s="288">
        <f t="shared" si="11"/>
        <v>1000</v>
      </c>
      <c r="G17" s="288">
        <f t="shared" si="11"/>
        <v>5442.78</v>
      </c>
      <c r="H17" s="474">
        <f>IF(E17=0,"",G17/E17)</f>
        <v>0.27213899999999996</v>
      </c>
      <c r="I17" s="475"/>
      <c r="J17" s="466">
        <f t="shared" ref="J17" si="12">SUM(J15:J16)</f>
        <v>20000</v>
      </c>
      <c r="K17" s="461">
        <f t="shared" si="0"/>
        <v>0</v>
      </c>
      <c r="L17" s="459">
        <f>(J17-E17)/J17</f>
        <v>0</v>
      </c>
      <c r="M17" s="466">
        <f t="shared" ref="M17" si="13">SUM(M15:M16)</f>
        <v>17000</v>
      </c>
      <c r="N17" s="162"/>
    </row>
    <row r="18" spans="1:14" ht="16.2" thickBot="1" x14ac:dyDescent="0.35">
      <c r="A18" s="185">
        <v>14</v>
      </c>
      <c r="B18" s="476" t="s">
        <v>75</v>
      </c>
      <c r="C18" s="477">
        <f>C7+C10+C13+C17</f>
        <v>131000</v>
      </c>
      <c r="D18" s="478">
        <f>D7+D10+D13+D17</f>
        <v>135786.29</v>
      </c>
      <c r="E18" s="479">
        <f>E17+E13+E10+E7</f>
        <v>142000</v>
      </c>
      <c r="F18" s="477">
        <f t="shared" ref="F18:G18" si="14">F7+F10+F13+F17</f>
        <v>59469.850000000006</v>
      </c>
      <c r="G18" s="477">
        <f t="shared" si="14"/>
        <v>63448.25</v>
      </c>
      <c r="H18" s="480">
        <f>IF(E18=0,"",G18/E18)</f>
        <v>0.44681866197183101</v>
      </c>
      <c r="I18" s="104"/>
      <c r="J18" s="481">
        <f>J17+J13+J10+J7</f>
        <v>152000</v>
      </c>
      <c r="K18" s="482">
        <f t="shared" si="0"/>
        <v>10000</v>
      </c>
      <c r="L18" s="483"/>
      <c r="M18" s="481">
        <f>M17+M13+M10+M7</f>
        <v>142000</v>
      </c>
      <c r="N18" s="162"/>
    </row>
    <row r="19" spans="1:14" ht="15" thickTop="1" x14ac:dyDescent="0.3">
      <c r="A19" s="185">
        <v>15</v>
      </c>
      <c r="B19" s="484" t="s">
        <v>76</v>
      </c>
      <c r="C19" s="180"/>
      <c r="D19" s="184"/>
      <c r="E19" s="444"/>
      <c r="F19" s="180"/>
      <c r="G19" s="184"/>
      <c r="H19" s="445"/>
      <c r="I19" s="104"/>
      <c r="J19" s="457"/>
      <c r="K19" s="457"/>
      <c r="L19" s="485"/>
      <c r="M19" s="457"/>
      <c r="N19" s="162"/>
    </row>
    <row r="20" spans="1:14" x14ac:dyDescent="0.3">
      <c r="A20" s="171">
        <v>16</v>
      </c>
      <c r="B20" s="9" t="s">
        <v>77</v>
      </c>
      <c r="C20" s="180">
        <v>2500</v>
      </c>
      <c r="D20" s="184">
        <f>SUMIFS(MapFy2024_25!D:D,MapFy2024_25!B:B,'B- Marketing &amp; Adverts'!B20)</f>
        <v>2500</v>
      </c>
      <c r="E20" s="444">
        <v>2500</v>
      </c>
      <c r="F20" s="180">
        <f>SUMIFS(MapFy2025_26!E:E,MapFy2025_26!B:B,'B- Marketing &amp; Adverts'!B20)</f>
        <v>2500</v>
      </c>
      <c r="G20" s="184">
        <f>SUMIFS(MapFy2025_26!D:D,MapFy2025_26!B:B,'B- Marketing &amp; Adverts'!B20)</f>
        <v>2500</v>
      </c>
      <c r="H20" s="445">
        <f>IF(E20=0,"",G20/E20)</f>
        <v>1</v>
      </c>
      <c r="I20" s="104"/>
      <c r="J20" s="457">
        <v>2500</v>
      </c>
      <c r="K20" s="457">
        <f t="shared" si="0"/>
        <v>0</v>
      </c>
      <c r="L20" s="468">
        <f>(J20-E20)/J20</f>
        <v>0</v>
      </c>
      <c r="M20" s="457">
        <v>2500</v>
      </c>
      <c r="N20" s="162" t="s">
        <v>1004</v>
      </c>
    </row>
    <row r="21" spans="1:14" ht="16.5" customHeight="1" x14ac:dyDescent="0.3">
      <c r="A21" s="199">
        <v>17</v>
      </c>
      <c r="B21" s="10" t="s">
        <v>78</v>
      </c>
      <c r="C21" s="180">
        <v>0</v>
      </c>
      <c r="D21" s="184">
        <f>SUMIFS(MapFy2024_25!D:D,MapFy2024_25!B:B,'B- Marketing &amp; Adverts'!B21)</f>
        <v>0</v>
      </c>
      <c r="E21" s="444"/>
      <c r="F21" s="180">
        <f>SUMIFS(MapFy2025_26!E:E,MapFy2025_26!B:B,'B- Marketing &amp; Adverts'!B21)</f>
        <v>0</v>
      </c>
      <c r="G21" s="184">
        <f>SUMIFS(MapFy2025_26!D:D,MapFy2025_26!B:B,'B- Marketing &amp; Adverts'!B21)</f>
        <v>0</v>
      </c>
      <c r="H21" s="445" t="str">
        <f>IF(E21=0,"",G21/E21)</f>
        <v/>
      </c>
      <c r="I21" s="163" t="s">
        <v>229</v>
      </c>
      <c r="J21" s="457"/>
      <c r="K21" s="457"/>
      <c r="L21" s="468"/>
      <c r="M21" s="457"/>
      <c r="N21" s="162"/>
    </row>
    <row r="22" spans="1:14" x14ac:dyDescent="0.3">
      <c r="A22" s="199">
        <v>18</v>
      </c>
      <c r="B22" s="10" t="s">
        <v>79</v>
      </c>
      <c r="C22" s="180">
        <v>3000</v>
      </c>
      <c r="D22" s="184">
        <f>SUMIFS(MapFy2024_25!D:D,MapFy2024_25!B:B,'B- Marketing &amp; Adverts'!B22)</f>
        <v>1000</v>
      </c>
      <c r="E22" s="444">
        <v>3000</v>
      </c>
      <c r="F22" s="180">
        <f>SUMIFS(MapFy2025_26!E:E,MapFy2025_26!B:B,'B- Marketing &amp; Adverts'!B22)</f>
        <v>0</v>
      </c>
      <c r="G22" s="184">
        <f>SUMIFS(MapFy2025_26!D:D,MapFy2025_26!B:B,'B- Marketing &amp; Adverts'!B22)</f>
        <v>3071.42</v>
      </c>
      <c r="H22" s="445">
        <f>IF(E22=0,"",G22/E22)</f>
        <v>1.0238066666666668</v>
      </c>
      <c r="I22" s="104"/>
      <c r="J22" s="457">
        <v>3100</v>
      </c>
      <c r="K22" s="457">
        <f t="shared" si="0"/>
        <v>100</v>
      </c>
      <c r="L22" s="468">
        <f t="shared" ref="L22:L29" si="15">(J22-E22)/J22</f>
        <v>3.2258064516129031E-2</v>
      </c>
      <c r="M22" s="457">
        <v>8000</v>
      </c>
      <c r="N22" s="162" t="s">
        <v>1002</v>
      </c>
    </row>
    <row r="23" spans="1:14" ht="15" thickBot="1" x14ac:dyDescent="0.35">
      <c r="A23" s="164">
        <v>20</v>
      </c>
      <c r="B23" s="7" t="s">
        <v>80</v>
      </c>
      <c r="C23" s="180">
        <v>0</v>
      </c>
      <c r="D23" s="184">
        <f>SUMIFS(MapFy2024_25!D:D,MapFy2024_25!B:B,'B- Marketing &amp; Adverts'!B23)</f>
        <v>0</v>
      </c>
      <c r="E23" s="444">
        <v>0</v>
      </c>
      <c r="F23" s="180">
        <f>SUMIFS(MapFy2025_26!E:E,MapFy2025_26!B:B,'B- Marketing &amp; Adverts'!B23)</f>
        <v>0</v>
      </c>
      <c r="G23" s="184">
        <f>SUMIFS(MapFy2025_26!D:D,MapFy2025_26!B:B,'B- Marketing &amp; Adverts'!B23)</f>
        <v>560</v>
      </c>
      <c r="H23" s="445" t="str">
        <f>IF(E23=0,"",G23/E23)</f>
        <v/>
      </c>
      <c r="I23" s="104"/>
      <c r="J23" s="457">
        <v>2000</v>
      </c>
      <c r="K23" s="486">
        <f t="shared" si="0"/>
        <v>2000</v>
      </c>
      <c r="L23" s="487">
        <f t="shared" si="15"/>
        <v>1</v>
      </c>
      <c r="M23" s="457">
        <v>2000</v>
      </c>
      <c r="N23" s="162" t="s">
        <v>1003</v>
      </c>
    </row>
    <row r="24" spans="1:14" ht="16.8" thickTop="1" thickBot="1" x14ac:dyDescent="0.35">
      <c r="A24" s="185">
        <v>21</v>
      </c>
      <c r="B24" s="110" t="s">
        <v>406</v>
      </c>
      <c r="C24" s="488">
        <f>SUM(C20:C23)</f>
        <v>5500</v>
      </c>
      <c r="D24" s="489">
        <f>SUM(D20:D23)</f>
        <v>3500</v>
      </c>
      <c r="E24" s="490">
        <f t="shared" ref="E24:G24" si="16">SUM(E20:E23)</f>
        <v>5500</v>
      </c>
      <c r="F24" s="488">
        <f t="shared" si="16"/>
        <v>2500</v>
      </c>
      <c r="G24" s="488">
        <f t="shared" si="16"/>
        <v>6131.42</v>
      </c>
      <c r="H24" s="451">
        <f>IF(E24=0,"",G24/E24)</f>
        <v>1.1148036363636364</v>
      </c>
      <c r="I24" s="452"/>
      <c r="J24" s="491">
        <f t="shared" ref="J24" si="17">SUM(J20:J23)</f>
        <v>7600</v>
      </c>
      <c r="K24" s="492">
        <f>J24-E24</f>
        <v>2100</v>
      </c>
      <c r="L24" s="493">
        <f t="shared" si="15"/>
        <v>0.27631578947368424</v>
      </c>
      <c r="M24" s="491">
        <f t="shared" ref="M24" si="18">SUM(M20:M23)</f>
        <v>12500</v>
      </c>
      <c r="N24" s="423"/>
    </row>
    <row r="25" spans="1:14" ht="16.5" hidden="1" customHeight="1" thickBot="1" x14ac:dyDescent="0.35">
      <c r="A25" s="185">
        <v>22</v>
      </c>
      <c r="B25" s="494" t="s">
        <v>81</v>
      </c>
      <c r="C25" s="314">
        <v>0</v>
      </c>
      <c r="D25" s="216"/>
      <c r="E25" s="464"/>
      <c r="F25" s="179"/>
      <c r="G25" s="216"/>
      <c r="H25" s="495"/>
      <c r="I25" s="496" t="s">
        <v>230</v>
      </c>
      <c r="J25" s="458"/>
      <c r="K25" s="492">
        <f t="shared" ref="K25:K29" si="19">J25-E25</f>
        <v>0</v>
      </c>
      <c r="L25" s="493" t="e">
        <f t="shared" si="15"/>
        <v>#DIV/0!</v>
      </c>
      <c r="M25" s="458"/>
      <c r="N25" s="423"/>
    </row>
    <row r="26" spans="1:14" ht="20.25" customHeight="1" thickTop="1" thickBot="1" x14ac:dyDescent="0.35">
      <c r="A26" s="271">
        <v>23</v>
      </c>
      <c r="B26" s="497" t="s">
        <v>82</v>
      </c>
      <c r="C26" s="180"/>
      <c r="D26" s="184"/>
      <c r="E26" s="444"/>
      <c r="F26" s="180">
        <f>SUMIFS(MapFy2025_26!E:E,MapFy2025_26!B:B,'B- Marketing &amp; Adverts'!B26)</f>
        <v>0</v>
      </c>
      <c r="G26" s="184"/>
      <c r="H26" s="445" t="str">
        <f>IF(E26=0,"",G26/E26)</f>
        <v/>
      </c>
      <c r="I26" s="498" t="s">
        <v>235</v>
      </c>
      <c r="J26" s="457"/>
      <c r="K26" s="492"/>
      <c r="L26" s="493"/>
      <c r="M26" s="457"/>
      <c r="N26" s="423"/>
    </row>
    <row r="27" spans="1:14" ht="36" customHeight="1" thickTop="1" thickBot="1" x14ac:dyDescent="0.35">
      <c r="A27" s="164">
        <v>24</v>
      </c>
      <c r="B27" s="499" t="s">
        <v>83</v>
      </c>
      <c r="C27" s="477">
        <f>C18+C24+SUM(C25:C26)</f>
        <v>136500</v>
      </c>
      <c r="D27" s="478">
        <f>D18+D24+SUM(D25:D26)</f>
        <v>139286.29</v>
      </c>
      <c r="E27" s="479">
        <f>E24+E18</f>
        <v>147500</v>
      </c>
      <c r="F27" s="477">
        <f t="shared" ref="F27:G27" si="20">F18+F24+SUM(F25:F26)</f>
        <v>61969.850000000006</v>
      </c>
      <c r="G27" s="477">
        <f t="shared" si="20"/>
        <v>69579.67</v>
      </c>
      <c r="H27" s="451">
        <f>IF(E27=0,"",G27/E27)</f>
        <v>0.47172657627118642</v>
      </c>
      <c r="I27" s="104"/>
      <c r="J27" s="481">
        <f>J24+J18</f>
        <v>159600</v>
      </c>
      <c r="K27" s="492">
        <f t="shared" si="19"/>
        <v>12100</v>
      </c>
      <c r="L27" s="493">
        <f t="shared" si="15"/>
        <v>7.5814536340852126E-2</v>
      </c>
      <c r="M27" s="481">
        <f>M24+M18</f>
        <v>154500</v>
      </c>
      <c r="N27" s="423"/>
    </row>
    <row r="28" spans="1:14" ht="16.8" thickTop="1" thickBot="1" x14ac:dyDescent="0.35">
      <c r="A28" s="185">
        <v>25</v>
      </c>
      <c r="B28" s="500" t="s">
        <v>84</v>
      </c>
      <c r="C28" s="314">
        <f>-'A- Summary Inc_Ex'!C14</f>
        <v>-81000</v>
      </c>
      <c r="D28" s="501">
        <f>-'A- Summary Inc_Ex'!D14</f>
        <v>-67280.160000000003</v>
      </c>
      <c r="E28" s="502">
        <f>-'A- Summary Inc_Ex'!E14</f>
        <v>-44000</v>
      </c>
      <c r="F28" s="312">
        <f>-'A- Summary Inc_Ex'!F14</f>
        <v>-55828.57</v>
      </c>
      <c r="G28" s="216">
        <f>-'A- Summary Inc_Ex'!G14</f>
        <v>-34235.33</v>
      </c>
      <c r="H28" s="495"/>
      <c r="I28" s="166"/>
      <c r="J28" s="503">
        <f>-'A- Summary Inc_Ex'!J14</f>
        <v>0</v>
      </c>
      <c r="K28" s="492"/>
      <c r="L28" s="493"/>
      <c r="M28" s="503">
        <f>-'A- Summary Inc_Ex'!M14</f>
        <v>0</v>
      </c>
      <c r="N28" s="423"/>
    </row>
    <row r="29" spans="1:14" ht="29.4" thickTop="1" thickBot="1" x14ac:dyDescent="0.35">
      <c r="A29" s="271">
        <v>26</v>
      </c>
      <c r="B29" s="504" t="s">
        <v>85</v>
      </c>
      <c r="C29" s="288">
        <f>SUM(C27:C28)</f>
        <v>55500</v>
      </c>
      <c r="D29" s="505">
        <f>SUM(D27:D28)</f>
        <v>72006.13</v>
      </c>
      <c r="E29" s="465">
        <f t="shared" ref="E29:G29" si="21">SUM(E27:E28)</f>
        <v>103500</v>
      </c>
      <c r="F29" s="288">
        <f t="shared" si="21"/>
        <v>6141.2800000000061</v>
      </c>
      <c r="G29" s="288">
        <f t="shared" si="21"/>
        <v>35344.339999999997</v>
      </c>
      <c r="H29" s="451">
        <f>IF(E29=0,"",G29/E29)</f>
        <v>0.34149120772946856</v>
      </c>
      <c r="I29" s="473"/>
      <c r="J29" s="466">
        <f t="shared" ref="J29" si="22">SUM(J27:J28)</f>
        <v>159600</v>
      </c>
      <c r="K29" s="506">
        <f t="shared" si="19"/>
        <v>56100</v>
      </c>
      <c r="L29" s="507">
        <f t="shared" si="15"/>
        <v>0.35150375939849626</v>
      </c>
      <c r="M29" s="466">
        <f t="shared" ref="M29" si="23">SUM(M27:M28)</f>
        <v>154500</v>
      </c>
      <c r="N29" s="508"/>
    </row>
    <row r="31" spans="1:14" x14ac:dyDescent="0.3">
      <c r="C31" s="269"/>
      <c r="D31" s="269"/>
      <c r="E31" s="269"/>
      <c r="F31" s="269"/>
      <c r="G31" s="269"/>
      <c r="J31" s="269"/>
      <c r="K31" s="269"/>
      <c r="L31" s="269"/>
      <c r="M31" s="269"/>
    </row>
  </sheetData>
  <mergeCells count="1">
    <mergeCell ref="A1:N1"/>
  </mergeCells>
  <pageMargins left="0.25" right="0.25" top="0.35" bottom="0.75" header="0.61" footer="0.3"/>
  <pageSetup scale="90" orientation="landscape" verticalDpi="598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5"/>
  <sheetViews>
    <sheetView zoomScale="90" zoomScaleNormal="90" workbookViewId="0">
      <selection activeCell="B3" sqref="B3"/>
    </sheetView>
  </sheetViews>
  <sheetFormatPr defaultRowHeight="14.4" x14ac:dyDescent="0.3"/>
  <cols>
    <col min="1" max="1" width="4.5546875" style="104" customWidth="1"/>
    <col min="2" max="2" width="36.44140625" style="104" customWidth="1"/>
    <col min="3" max="3" width="15.6640625" style="104" hidden="1" customWidth="1"/>
    <col min="4" max="4" width="12.5546875" style="104" customWidth="1"/>
    <col min="5" max="5" width="13.6640625" style="104" hidden="1" customWidth="1"/>
    <col min="6" max="6" width="14.88671875" style="104" hidden="1" customWidth="1"/>
    <col min="7" max="7" width="13.21875" style="104" hidden="1" customWidth="1"/>
    <col min="8" max="8" width="10.6640625" style="136" hidden="1" customWidth="1"/>
    <col min="9" max="10" width="0" style="136" hidden="1" customWidth="1"/>
    <col min="11" max="11" width="13.6640625" style="104" customWidth="1"/>
    <col min="12" max="13" width="13.6640625" style="104" hidden="1" customWidth="1"/>
    <col min="14" max="14" width="21.109375" style="163" hidden="1" customWidth="1"/>
    <col min="15" max="15" width="13.6640625" style="104" customWidth="1"/>
    <col min="16" max="16" width="25" style="163" hidden="1" customWidth="1"/>
    <col min="17" max="16384" width="8.88671875" style="136"/>
  </cols>
  <sheetData>
    <row r="1" spans="1:20" ht="33" customHeight="1" thickBot="1" x14ac:dyDescent="0.35">
      <c r="A1" s="127" t="s">
        <v>992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</row>
    <row r="2" spans="1:20" ht="15" thickBot="1" x14ac:dyDescent="0.35">
      <c r="A2" s="509"/>
      <c r="B2" s="510" t="s">
        <v>1040</v>
      </c>
      <c r="C2" s="511">
        <f>'A- Summary Inc_Ex'!C2</f>
        <v>0</v>
      </c>
      <c r="D2" s="511"/>
      <c r="E2" s="511"/>
      <c r="F2" s="511"/>
      <c r="G2" s="511"/>
      <c r="H2" s="511"/>
      <c r="I2" s="512"/>
      <c r="J2" s="513"/>
      <c r="K2" s="511"/>
      <c r="L2" s="514"/>
      <c r="M2" s="514"/>
      <c r="N2" s="515"/>
      <c r="O2" s="511"/>
      <c r="P2" s="515"/>
    </row>
    <row r="3" spans="1:20" ht="42.6" thickBot="1" x14ac:dyDescent="0.35">
      <c r="A3" s="516"/>
      <c r="B3" s="517" t="s">
        <v>86</v>
      </c>
      <c r="C3" s="518" t="str">
        <f>'A- Summary Inc_Ex'!C3</f>
        <v>APPROVED Amended  Budget 2024_25</v>
      </c>
      <c r="D3" s="518" t="str">
        <f>'A- Summary Inc_Ex'!D3</f>
        <v>Final
FY 24_25
FYE</v>
      </c>
      <c r="E3" s="519" t="str">
        <f>'A- Summary Inc_Ex'!E3</f>
        <v>FY2025/26 ADOPTED BUDGET</v>
      </c>
      <c r="F3" s="518" t="str">
        <f>'A- Summary Inc_Ex'!F3</f>
        <v>Previous
Year toDate
3/31/2025</v>
      </c>
      <c r="G3" s="518" t="str">
        <f>'A- Summary Inc_Ex'!G3</f>
        <v>FY 25_26
 to Date
3/31/2026</v>
      </c>
      <c r="H3" s="518" t="str">
        <f>'A- Summary Inc_Ex'!H3</f>
        <v>Percentage of Adopted Budget</v>
      </c>
      <c r="I3" s="520"/>
      <c r="J3" s="150"/>
      <c r="K3" s="521" t="s">
        <v>990</v>
      </c>
      <c r="L3" s="522" t="str">
        <f>'B- Marketing &amp; Adverts'!K3</f>
        <v>Amount of Change</v>
      </c>
      <c r="M3" s="521" t="str">
        <f>'B- Marketing &amp; Adverts'!L3</f>
        <v>Percentage of change</v>
      </c>
      <c r="N3" s="523" t="s">
        <v>965</v>
      </c>
      <c r="O3" s="524" t="str">
        <f>'Top Line Rep'!K3</f>
        <v>FY 2026-2027 ADOPTED BUDGET</v>
      </c>
      <c r="P3" s="525" t="s">
        <v>216</v>
      </c>
    </row>
    <row r="4" spans="1:20" x14ac:dyDescent="0.3">
      <c r="A4" s="526"/>
      <c r="B4" s="527" t="s">
        <v>87</v>
      </c>
      <c r="C4" s="528"/>
      <c r="D4" s="528"/>
      <c r="E4" s="529"/>
      <c r="F4" s="528"/>
      <c r="G4" s="530"/>
      <c r="H4" s="531"/>
      <c r="I4" s="162"/>
      <c r="K4" s="528"/>
      <c r="L4" s="530"/>
      <c r="M4" s="530"/>
      <c r="N4" s="532"/>
      <c r="O4" s="528"/>
      <c r="P4" s="532"/>
    </row>
    <row r="5" spans="1:20" ht="43.5" customHeight="1" x14ac:dyDescent="0.3">
      <c r="A5" s="533">
        <v>1</v>
      </c>
      <c r="B5" s="60" t="s">
        <v>88</v>
      </c>
      <c r="C5" s="212">
        <v>3500</v>
      </c>
      <c r="D5" s="212">
        <f>SUMIFS(MapFy2024_25!D:D,MapFy2024_25!B:B,'C- Economic Vitality'!B5)</f>
        <v>387.6</v>
      </c>
      <c r="E5" s="226">
        <v>3500</v>
      </c>
      <c r="F5" s="212">
        <f>SUMIFS(MapFy2025_26!E:E,MapFy2025_26!B:B,'C- Economic Vitality'!B5)</f>
        <v>0</v>
      </c>
      <c r="G5" s="534">
        <f>SUMIFS(MapFy2025_26!D:D,MapFy2025_26!B:B,'C- Economic Vitality'!B5)</f>
        <v>0</v>
      </c>
      <c r="H5" s="535">
        <f>G5/E5</f>
        <v>0</v>
      </c>
      <c r="I5" s="162"/>
      <c r="K5" s="212">
        <v>3500</v>
      </c>
      <c r="L5" s="534">
        <f>K5-E5</f>
        <v>0</v>
      </c>
      <c r="M5" s="536">
        <f>(K5-E5)/K5</f>
        <v>0</v>
      </c>
      <c r="N5" s="537"/>
      <c r="O5" s="212">
        <v>3500</v>
      </c>
      <c r="P5" s="537" t="s">
        <v>1024</v>
      </c>
    </row>
    <row r="6" spans="1:20" x14ac:dyDescent="0.3">
      <c r="A6" s="533">
        <v>2</v>
      </c>
      <c r="B6" s="60" t="s">
        <v>89</v>
      </c>
      <c r="C6" s="212">
        <v>4500</v>
      </c>
      <c r="D6" s="212">
        <f>SUMIFS(MapFy2024_25!D:D,MapFy2024_25!B:B,'C- Economic Vitality'!B6)</f>
        <v>6040</v>
      </c>
      <c r="E6" s="226">
        <v>4000</v>
      </c>
      <c r="F6" s="212">
        <f>SUMIFS(MapFy2025_26!E:E,MapFy2025_26!B:B,'C- Economic Vitality'!B6)</f>
        <v>2475</v>
      </c>
      <c r="G6" s="534">
        <f>SUMIFS(MapFy2025_26!D:D,MapFy2025_26!B:B,'C- Economic Vitality'!B6)</f>
        <v>2380</v>
      </c>
      <c r="H6" s="535">
        <f t="shared" ref="H6:H9" si="0">G6/E6</f>
        <v>0.59499999999999997</v>
      </c>
      <c r="I6" s="162"/>
      <c r="K6" s="212">
        <v>4000</v>
      </c>
      <c r="L6" s="534">
        <f t="shared" ref="L6:L12" si="1">K6-E6</f>
        <v>0</v>
      </c>
      <c r="M6" s="536">
        <f t="shared" ref="M6:M12" si="2">(K6-E6)/K6</f>
        <v>0</v>
      </c>
      <c r="N6" s="537"/>
      <c r="O6" s="212">
        <v>2500</v>
      </c>
      <c r="P6" s="537" t="s">
        <v>1025</v>
      </c>
    </row>
    <row r="7" spans="1:20" ht="28.2" customHeight="1" x14ac:dyDescent="0.3">
      <c r="A7" s="533">
        <v>3</v>
      </c>
      <c r="B7" s="61" t="s">
        <v>90</v>
      </c>
      <c r="C7" s="212">
        <v>8000</v>
      </c>
      <c r="D7" s="212">
        <f>SUMIFS(MapFy2024_25!D:D,MapFy2024_25!B:B,'C- Economic Vitality'!B7)</f>
        <v>10174.31</v>
      </c>
      <c r="E7" s="226">
        <v>25000</v>
      </c>
      <c r="F7" s="212">
        <f>SUMIFS(MapFy2025_26!E:E,MapFy2025_26!B:B,'C- Economic Vitality'!B7)</f>
        <v>0</v>
      </c>
      <c r="G7" s="534">
        <f>SUMIFS(MapFy2025_26!D:D,MapFy2025_26!B:B,'C- Economic Vitality'!B7)</f>
        <v>6081</v>
      </c>
      <c r="H7" s="535">
        <f t="shared" si="0"/>
        <v>0.24324000000000001</v>
      </c>
      <c r="I7" s="162"/>
      <c r="K7" s="538">
        <v>35000</v>
      </c>
      <c r="L7" s="539">
        <f t="shared" si="1"/>
        <v>10000</v>
      </c>
      <c r="M7" s="540">
        <f t="shared" si="2"/>
        <v>0.2857142857142857</v>
      </c>
      <c r="N7" s="537" t="s">
        <v>976</v>
      </c>
      <c r="O7" s="538">
        <v>20000</v>
      </c>
      <c r="P7" s="537" t="s">
        <v>1026</v>
      </c>
    </row>
    <row r="8" spans="1:20" ht="24.45" customHeight="1" x14ac:dyDescent="0.3">
      <c r="A8" s="533">
        <v>4</v>
      </c>
      <c r="B8" s="61" t="s">
        <v>91</v>
      </c>
      <c r="C8" s="212">
        <v>18000</v>
      </c>
      <c r="D8" s="212">
        <f>SUMIFS(MapFy2024_25!D:D,MapFy2024_25!B:B,'C- Economic Vitality'!B8)</f>
        <v>16925</v>
      </c>
      <c r="E8" s="226">
        <v>20000</v>
      </c>
      <c r="F8" s="212">
        <f>SUMIFS(MapFy2025_26!E:E,MapFy2025_26!B:B,'C- Economic Vitality'!B8)</f>
        <v>15675</v>
      </c>
      <c r="G8" s="534">
        <f>SUMIFS(MapFy2025_26!D:D,MapFy2025_26!B:B,'C- Economic Vitality'!B8)</f>
        <v>12625</v>
      </c>
      <c r="H8" s="535">
        <f t="shared" si="0"/>
        <v>0.63124999999999998</v>
      </c>
      <c r="I8" s="162"/>
      <c r="K8" s="538">
        <v>17000</v>
      </c>
      <c r="L8" s="539">
        <f t="shared" si="1"/>
        <v>-3000</v>
      </c>
      <c r="M8" s="540">
        <f t="shared" si="2"/>
        <v>-0.17647058823529413</v>
      </c>
      <c r="N8" s="537" t="s">
        <v>975</v>
      </c>
      <c r="O8" s="538">
        <v>30000</v>
      </c>
      <c r="P8" s="541" t="s">
        <v>1033</v>
      </c>
      <c r="T8" s="198"/>
    </row>
    <row r="9" spans="1:20" ht="32.4" customHeight="1" x14ac:dyDescent="0.3">
      <c r="A9" s="533">
        <v>5</v>
      </c>
      <c r="B9" s="61" t="s">
        <v>92</v>
      </c>
      <c r="C9" s="212">
        <v>8000</v>
      </c>
      <c r="D9" s="212">
        <f>SUMIFS(MapFy2024_25!D:D,MapFy2024_25!B:B,'C- Economic Vitality'!B9)</f>
        <v>4460</v>
      </c>
      <c r="E9" s="226">
        <v>15000</v>
      </c>
      <c r="F9" s="212">
        <f>SUMIFS(MapFy2025_26!E:E,MapFy2025_26!B:B,'C- Economic Vitality'!B9)</f>
        <v>100</v>
      </c>
      <c r="G9" s="534">
        <f>SUMIFS(MapFy2025_26!D:D,MapFy2025_26!B:B,'C- Economic Vitality'!B9)</f>
        <v>2045</v>
      </c>
      <c r="H9" s="535">
        <f t="shared" si="0"/>
        <v>0.13633333333333333</v>
      </c>
      <c r="I9" s="162"/>
      <c r="K9" s="538">
        <v>20000</v>
      </c>
      <c r="L9" s="539">
        <f t="shared" si="1"/>
        <v>5000</v>
      </c>
      <c r="M9" s="540">
        <f t="shared" si="2"/>
        <v>0.25</v>
      </c>
      <c r="N9" s="537" t="s">
        <v>984</v>
      </c>
      <c r="O9" s="538">
        <v>15000</v>
      </c>
      <c r="P9" s="537" t="s">
        <v>1027</v>
      </c>
    </row>
    <row r="10" spans="1:20" ht="25.8" customHeight="1" thickBot="1" x14ac:dyDescent="0.35">
      <c r="A10" s="542">
        <v>6</v>
      </c>
      <c r="B10" s="62" t="s">
        <v>93</v>
      </c>
      <c r="C10" s="543"/>
      <c r="D10" s="543"/>
      <c r="E10" s="544"/>
      <c r="F10" s="543"/>
      <c r="G10" s="543"/>
      <c r="H10" s="545"/>
      <c r="I10" s="546" t="s">
        <v>233</v>
      </c>
      <c r="J10" s="269">
        <f>SUM(D5:D9)</f>
        <v>37986.910000000003</v>
      </c>
      <c r="K10" s="547"/>
      <c r="L10" s="547"/>
      <c r="M10" s="547"/>
      <c r="N10" s="537"/>
      <c r="O10" s="547"/>
      <c r="P10" s="537"/>
    </row>
    <row r="11" spans="1:20" ht="120.6" customHeight="1" thickTop="1" thickBot="1" x14ac:dyDescent="0.35">
      <c r="A11" s="548">
        <v>7</v>
      </c>
      <c r="B11" s="113" t="s">
        <v>1029</v>
      </c>
      <c r="C11" s="298">
        <v>185000</v>
      </c>
      <c r="D11" s="549">
        <f>SUMIFS(MapFy2024_25!D:D,MapFy2024_25!B:B,'C- Economic Vitality'!B11)</f>
        <v>0</v>
      </c>
      <c r="E11" s="550">
        <v>195000</v>
      </c>
      <c r="F11" s="549">
        <f>SUMIFS(MapFy2025_26!E:E,MapFy2025_26!B:B,'C- Economic Vitality'!B11)</f>
        <v>0</v>
      </c>
      <c r="G11" s="551">
        <f>SUMIFS(MapFy2025_26!D:D,MapFy2025_26!B:B,'C- Economic Vitality'!B11)</f>
        <v>0</v>
      </c>
      <c r="H11" s="552">
        <f>G11/E11</f>
        <v>0</v>
      </c>
      <c r="I11" s="553" t="s">
        <v>218</v>
      </c>
      <c r="J11" s="374"/>
      <c r="K11" s="554">
        <v>220000</v>
      </c>
      <c r="L11" s="555">
        <f t="shared" si="1"/>
        <v>25000</v>
      </c>
      <c r="M11" s="556">
        <f t="shared" si="2"/>
        <v>0.11363636363636363</v>
      </c>
      <c r="N11" s="557" t="s">
        <v>966</v>
      </c>
      <c r="O11" s="554">
        <v>220000</v>
      </c>
      <c r="P11" s="558" t="s">
        <v>1028</v>
      </c>
    </row>
    <row r="12" spans="1:20" ht="25.95" customHeight="1" thickBot="1" x14ac:dyDescent="0.35">
      <c r="A12" s="559"/>
      <c r="B12" s="560" t="s">
        <v>94</v>
      </c>
      <c r="C12" s="561">
        <f>SUM(C5:C11)</f>
        <v>227000</v>
      </c>
      <c r="D12" s="561">
        <f>SUM(D5:D11)</f>
        <v>37986.910000000003</v>
      </c>
      <c r="E12" s="562">
        <f t="shared" ref="E12:G12" si="3">SUM(E5:E11)</f>
        <v>262500</v>
      </c>
      <c r="F12" s="561">
        <f t="shared" si="3"/>
        <v>18250</v>
      </c>
      <c r="G12" s="561">
        <f t="shared" si="3"/>
        <v>23131</v>
      </c>
      <c r="H12" s="563">
        <f>IF(E12=0,"",G12/E12)</f>
        <v>8.8118095238095231E-2</v>
      </c>
      <c r="I12" s="360"/>
      <c r="J12" s="374"/>
      <c r="K12" s="561">
        <f t="shared" ref="K12" si="4">SUM(K5:K11)</f>
        <v>299500</v>
      </c>
      <c r="L12" s="564">
        <f t="shared" si="1"/>
        <v>37000</v>
      </c>
      <c r="M12" s="565">
        <f t="shared" si="2"/>
        <v>0.12353923205342238</v>
      </c>
      <c r="N12" s="566"/>
      <c r="O12" s="567">
        <f t="shared" ref="O12" si="5">SUM(O5:O11)</f>
        <v>291000</v>
      </c>
      <c r="P12" s="568"/>
    </row>
    <row r="14" spans="1:20" x14ac:dyDescent="0.3">
      <c r="C14" s="244"/>
      <c r="D14" s="244"/>
      <c r="E14" s="244"/>
      <c r="F14" s="244"/>
      <c r="K14" s="244"/>
      <c r="L14" s="244"/>
      <c r="M14" s="244"/>
      <c r="N14" s="569"/>
      <c r="O14" s="244"/>
      <c r="T14" s="198"/>
    </row>
    <row r="15" spans="1:20" x14ac:dyDescent="0.3">
      <c r="C15" s="244"/>
      <c r="D15" s="244"/>
      <c r="E15" s="244"/>
      <c r="F15" s="244"/>
      <c r="K15" s="244"/>
      <c r="L15" s="244"/>
      <c r="M15" s="244"/>
      <c r="O15" s="244"/>
    </row>
  </sheetData>
  <mergeCells count="1">
    <mergeCell ref="A1:P1"/>
  </mergeCells>
  <pageMargins left="0.57999999999999996" right="0.42" top="0.38541666666666702" bottom="0.75" header="0.3" footer="0.3"/>
  <pageSetup scale="95" orientation="landscape" verticalDpi="597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"/>
  <sheetViews>
    <sheetView zoomScaleNormal="100" workbookViewId="0">
      <selection activeCell="D2" sqref="D2:N2"/>
    </sheetView>
  </sheetViews>
  <sheetFormatPr defaultRowHeight="14.4" x14ac:dyDescent="0.3"/>
  <cols>
    <col min="1" max="1" width="5.6640625" style="104" customWidth="1"/>
    <col min="2" max="2" width="28.6640625" style="104" customWidth="1"/>
    <col min="3" max="3" width="14" style="104" hidden="1" customWidth="1"/>
    <col min="4" max="4" width="14" style="104" customWidth="1"/>
    <col min="5" max="6" width="14" style="104" hidden="1" customWidth="1"/>
    <col min="7" max="7" width="12.5546875" style="163" hidden="1" customWidth="1"/>
    <col min="8" max="8" width="11" style="136" hidden="1" customWidth="1"/>
    <col min="9" max="9" width="30.88671875" style="136" hidden="1" customWidth="1"/>
    <col min="10" max="10" width="14" style="104" customWidth="1"/>
    <col min="11" max="12" width="14" style="104" hidden="1" customWidth="1"/>
    <col min="13" max="13" width="20.5546875" style="389" hidden="1" customWidth="1"/>
    <col min="14" max="14" width="14" style="104" customWidth="1"/>
    <col min="15" max="15" width="40" style="163" hidden="1" customWidth="1"/>
    <col min="16" max="16384" width="8.88671875" style="136"/>
  </cols>
  <sheetData>
    <row r="1" spans="1:17" s="63" customFormat="1" ht="39" customHeight="1" thickBot="1" x14ac:dyDescent="0.35">
      <c r="A1" s="124" t="s">
        <v>1034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804"/>
    </row>
    <row r="2" spans="1:17" x14ac:dyDescent="0.3">
      <c r="A2" s="570"/>
      <c r="B2" s="571" t="s">
        <v>1040</v>
      </c>
      <c r="C2" s="418">
        <f>'A- Summary Inc_Ex'!C2</f>
        <v>0</v>
      </c>
      <c r="D2" s="418"/>
      <c r="E2" s="418"/>
      <c r="F2" s="418"/>
      <c r="G2" s="572"/>
      <c r="H2" s="572"/>
      <c r="I2" s="347"/>
      <c r="J2" s="418"/>
      <c r="K2" s="573"/>
      <c r="L2" s="573"/>
      <c r="M2" s="574"/>
      <c r="N2" s="418"/>
      <c r="O2" s="537"/>
    </row>
    <row r="3" spans="1:17" ht="42.6" thickBot="1" x14ac:dyDescent="0.35">
      <c r="A3" s="575"/>
      <c r="B3" s="576" t="s">
        <v>226</v>
      </c>
      <c r="C3" s="577" t="str">
        <f>'A- Summary Inc_Ex'!C3</f>
        <v>APPROVED Amended  Budget 2024_25</v>
      </c>
      <c r="D3" s="577" t="str">
        <f>'A- Summary Inc_Ex'!D3</f>
        <v>Final
FY 24_25
FYE</v>
      </c>
      <c r="E3" s="578" t="str">
        <f>'A- Summary Inc_Ex'!E3</f>
        <v>FY2025/26 ADOPTED BUDGET</v>
      </c>
      <c r="F3" s="577" t="str">
        <f>'A- Summary Inc_Ex'!F3</f>
        <v>Previous
Year toDate
3/31/2025</v>
      </c>
      <c r="G3" s="577" t="str">
        <f>'A- Summary Inc_Ex'!G3</f>
        <v>FY 25_26
 to Date
3/31/2026</v>
      </c>
      <c r="H3" s="579" t="str">
        <f>'A- Summary Inc_Ex'!H3</f>
        <v>Percentage of Adopted Budget</v>
      </c>
      <c r="I3" s="580" t="s">
        <v>216</v>
      </c>
      <c r="J3" s="581" t="s">
        <v>989</v>
      </c>
      <c r="K3" s="582" t="str">
        <f>'A- Summary Inc_Ex'!P3</f>
        <v>Amount of Change</v>
      </c>
      <c r="L3" s="582" t="str">
        <f>'A- Summary Inc_Ex'!Q3</f>
        <v>Percentage of change</v>
      </c>
      <c r="M3" s="583" t="s">
        <v>965</v>
      </c>
      <c r="N3" s="584" t="str">
        <f>'Top Line Rep'!K3</f>
        <v>FY 2026-2027 ADOPTED BUDGET</v>
      </c>
      <c r="O3" s="583" t="s">
        <v>216</v>
      </c>
    </row>
    <row r="4" spans="1:17" ht="16.5" customHeight="1" x14ac:dyDescent="0.3">
      <c r="A4" s="585"/>
      <c r="B4" s="586" t="s">
        <v>87</v>
      </c>
      <c r="C4" s="587"/>
      <c r="D4" s="587"/>
      <c r="E4" s="588"/>
      <c r="F4" s="589"/>
      <c r="G4" s="587"/>
      <c r="H4" s="590"/>
      <c r="I4" s="580"/>
      <c r="J4" s="589"/>
      <c r="K4" s="587"/>
      <c r="L4" s="587"/>
      <c r="M4" s="537"/>
      <c r="N4" s="589"/>
      <c r="O4" s="537"/>
    </row>
    <row r="5" spans="1:17" ht="33" customHeight="1" x14ac:dyDescent="0.3">
      <c r="A5" s="533">
        <v>1</v>
      </c>
      <c r="B5" s="55" t="s">
        <v>95</v>
      </c>
      <c r="C5" s="591">
        <v>40000</v>
      </c>
      <c r="D5" s="591">
        <v>34459</v>
      </c>
      <c r="E5" s="592">
        <v>45000</v>
      </c>
      <c r="F5" s="593">
        <f>SUMIFS(MapFy2025_26!E:E,MapFy2025_26!B:B,'D-Placemaking '!B5)</f>
        <v>10216</v>
      </c>
      <c r="G5" s="591">
        <f>SUMIFS(MapFy2025_26!D:D,MapFy2025_26!B:B,'D-Placemaking '!B5)</f>
        <v>33711.79</v>
      </c>
      <c r="H5" s="535">
        <f t="shared" ref="H5:H12" si="0">IF(E5=0,"",G5/E5)</f>
        <v>0.74915088888888892</v>
      </c>
      <c r="I5" s="580" t="s">
        <v>225</v>
      </c>
      <c r="J5" s="594">
        <v>50000</v>
      </c>
      <c r="K5" s="595">
        <f>J5-E5</f>
        <v>5000</v>
      </c>
      <c r="L5" s="540">
        <f>(J5-E5)/J5</f>
        <v>0.1</v>
      </c>
      <c r="M5" s="537" t="s">
        <v>969</v>
      </c>
      <c r="N5" s="594">
        <v>50000</v>
      </c>
      <c r="O5" s="537" t="s">
        <v>1031</v>
      </c>
    </row>
    <row r="6" spans="1:17" ht="43.8" customHeight="1" x14ac:dyDescent="0.3">
      <c r="A6" s="533">
        <v>2</v>
      </c>
      <c r="B6" s="56" t="s">
        <v>96</v>
      </c>
      <c r="C6" s="591">
        <v>55000</v>
      </c>
      <c r="D6" s="596">
        <f>SUMIFS(MapFy2024_25!D:D,MapFy2024_25!B:B,'D-Placemaking '!B6)</f>
        <v>47611.5</v>
      </c>
      <c r="E6" s="597">
        <v>52000</v>
      </c>
      <c r="F6" s="593">
        <f>SUMIFS(MapFy2025_26!E:E,MapFy2025_26!B:B,'D-Placemaking '!B6)</f>
        <v>32128.5</v>
      </c>
      <c r="G6" s="591">
        <f>SUMIFS(MapFy2025_26!D:D,MapFy2025_26!B:B,'D-Placemaking '!B6)</f>
        <v>51487.5</v>
      </c>
      <c r="H6" s="535">
        <f t="shared" si="0"/>
        <v>0.99014423076923075</v>
      </c>
      <c r="I6" s="580" t="s">
        <v>228</v>
      </c>
      <c r="J6" s="598">
        <v>58000</v>
      </c>
      <c r="K6" s="595">
        <f t="shared" ref="K6:K13" si="1">J6-E6</f>
        <v>6000</v>
      </c>
      <c r="L6" s="540">
        <f t="shared" ref="L6:L13" si="2">(J6-E6)/J6</f>
        <v>0.10344827586206896</v>
      </c>
      <c r="M6" s="537" t="s">
        <v>967</v>
      </c>
      <c r="N6" s="598">
        <v>51000</v>
      </c>
      <c r="O6" s="537" t="s">
        <v>994</v>
      </c>
    </row>
    <row r="7" spans="1:17" ht="28.8" customHeight="1" x14ac:dyDescent="0.3">
      <c r="A7" s="533">
        <v>3</v>
      </c>
      <c r="B7" s="56" t="s">
        <v>97</v>
      </c>
      <c r="C7" s="591">
        <v>28320</v>
      </c>
      <c r="D7" s="591">
        <f>SUMIFS(MapFy2024_25!D:D,MapFy2024_25!B:B,'D-Placemaking '!B7)</f>
        <v>28320</v>
      </c>
      <c r="E7" s="592">
        <v>40000</v>
      </c>
      <c r="F7" s="593">
        <f>SUMIFS(MapFy2025_26!E:E,MapFy2025_26!B:B,'D-Placemaking '!B7)</f>
        <v>28320</v>
      </c>
      <c r="G7" s="591">
        <f>SUMIFS(MapFy2025_26!D:D,MapFy2025_26!B:B,'D-Placemaking '!B7)</f>
        <v>23000</v>
      </c>
      <c r="H7" s="535">
        <f t="shared" si="0"/>
        <v>0.57499999999999996</v>
      </c>
      <c r="I7" s="580" t="s">
        <v>217</v>
      </c>
      <c r="J7" s="594">
        <v>30000</v>
      </c>
      <c r="K7" s="539">
        <f t="shared" si="1"/>
        <v>-10000</v>
      </c>
      <c r="L7" s="540">
        <f t="shared" si="2"/>
        <v>-0.33333333333333331</v>
      </c>
      <c r="M7" s="537" t="s">
        <v>970</v>
      </c>
      <c r="N7" s="594">
        <v>40000</v>
      </c>
      <c r="O7" s="537" t="s">
        <v>995</v>
      </c>
      <c r="Q7" s="599"/>
    </row>
    <row r="8" spans="1:17" ht="28.8" customHeight="1" x14ac:dyDescent="0.3">
      <c r="A8" s="533">
        <v>4</v>
      </c>
      <c r="B8" s="57" t="s">
        <v>98</v>
      </c>
      <c r="C8" s="591">
        <v>330000</v>
      </c>
      <c r="D8" s="591">
        <f>SUMIFS(MapFy2024_25!D:D,MapFy2024_25!B:B,'D-Placemaking '!B8)</f>
        <v>313281.5</v>
      </c>
      <c r="E8" s="592">
        <v>340000</v>
      </c>
      <c r="F8" s="593">
        <f>SUMIFS(MapFy2025_26!E:E,MapFy2025_26!B:B,'D-Placemaking '!B8)</f>
        <v>127094.69</v>
      </c>
      <c r="G8" s="591">
        <f>SUMIFS(MapFy2025_26!D:D,MapFy2025_26!B:B,'D-Placemaking '!B8)</f>
        <v>132273.57999999999</v>
      </c>
      <c r="H8" s="535">
        <f t="shared" si="0"/>
        <v>0.38903994117647056</v>
      </c>
      <c r="I8" s="580"/>
      <c r="J8" s="594">
        <v>330000</v>
      </c>
      <c r="K8" s="539">
        <f t="shared" si="1"/>
        <v>-10000</v>
      </c>
      <c r="L8" s="540">
        <f t="shared" si="2"/>
        <v>-3.0303030303030304E-2</v>
      </c>
      <c r="M8" s="537" t="s">
        <v>968</v>
      </c>
      <c r="N8" s="594">
        <v>330000</v>
      </c>
      <c r="O8" s="537" t="s">
        <v>996</v>
      </c>
    </row>
    <row r="9" spans="1:17" ht="36" customHeight="1" x14ac:dyDescent="0.3">
      <c r="A9" s="533">
        <v>5</v>
      </c>
      <c r="B9" s="56" t="s">
        <v>99</v>
      </c>
      <c r="C9" s="591">
        <v>8000</v>
      </c>
      <c r="D9" s="591">
        <f>SUMIFS(MapFy2024_25!D:D,MapFy2024_25!B:B,'D-Placemaking '!B9)</f>
        <v>0</v>
      </c>
      <c r="E9" s="592">
        <v>18000</v>
      </c>
      <c r="F9" s="593">
        <f>SUMIFS(MapFy2025_26!E:E,MapFy2025_26!B:B,'D-Placemaking '!B9)</f>
        <v>0</v>
      </c>
      <c r="G9" s="591">
        <f>SUMIFS(MapFy2025_26!D:D,MapFy2025_26!B:B,'D-Placemaking '!B9)</f>
        <v>0</v>
      </c>
      <c r="H9" s="535">
        <f t="shared" si="0"/>
        <v>0</v>
      </c>
      <c r="I9" s="580"/>
      <c r="J9" s="594">
        <v>12000</v>
      </c>
      <c r="K9" s="539">
        <f t="shared" si="1"/>
        <v>-6000</v>
      </c>
      <c r="L9" s="540">
        <f t="shared" si="2"/>
        <v>-0.5</v>
      </c>
      <c r="M9" s="600" t="s">
        <v>971</v>
      </c>
      <c r="N9" s="594">
        <v>12000</v>
      </c>
      <c r="O9" s="537" t="s">
        <v>1006</v>
      </c>
    </row>
    <row r="10" spans="1:17" ht="24.6" customHeight="1" x14ac:dyDescent="0.3">
      <c r="A10" s="533">
        <v>6</v>
      </c>
      <c r="B10" s="58" t="s">
        <v>100</v>
      </c>
      <c r="C10" s="591">
        <v>5000</v>
      </c>
      <c r="D10" s="591">
        <f>SUMIFS(MapFy2024_25!D:D,MapFy2024_25!B:B,'D-Placemaking '!B10)</f>
        <v>4735</v>
      </c>
      <c r="E10" s="592">
        <v>12000</v>
      </c>
      <c r="F10" s="593">
        <f>SUMIFS(MapFy2025_26!E:E,MapFy2025_26!B:B,'D-Placemaking '!B10)</f>
        <v>3175</v>
      </c>
      <c r="G10" s="591">
        <f>SUMIFS(MapFy2025_26!D:D,MapFy2025_26!B:B,'D-Placemaking '!B10)</f>
        <v>1325</v>
      </c>
      <c r="H10" s="535">
        <f t="shared" si="0"/>
        <v>0.11041666666666666</v>
      </c>
      <c r="I10" s="580"/>
      <c r="J10" s="594">
        <v>12000</v>
      </c>
      <c r="K10" s="595">
        <f t="shared" si="1"/>
        <v>0</v>
      </c>
      <c r="L10" s="540">
        <f t="shared" si="2"/>
        <v>0</v>
      </c>
      <c r="M10" s="537"/>
      <c r="N10" s="594">
        <v>15000</v>
      </c>
      <c r="O10" s="537" t="s">
        <v>997</v>
      </c>
    </row>
    <row r="11" spans="1:17" ht="36.6" customHeight="1" thickBot="1" x14ac:dyDescent="0.35">
      <c r="A11" s="542">
        <v>7</v>
      </c>
      <c r="B11" s="59" t="s">
        <v>101</v>
      </c>
      <c r="C11" s="591">
        <v>40000</v>
      </c>
      <c r="D11" s="591">
        <f>SUMIFS(MapFy2024_25!D:D,MapFy2024_25!B:B,'D-Placemaking '!B11)</f>
        <v>36900</v>
      </c>
      <c r="E11" s="592">
        <v>65000</v>
      </c>
      <c r="F11" s="593">
        <f>SUMIFS(MapFy2025_26!E:E,MapFy2025_26!B:B,'D-Placemaking '!B11)</f>
        <v>16950</v>
      </c>
      <c r="G11" s="591">
        <f>SUMIFS(MapFy2025_26!D:D,MapFy2025_26!B:B,'D-Placemaking '!B11)</f>
        <v>15679.67</v>
      </c>
      <c r="H11" s="535">
        <f t="shared" si="0"/>
        <v>0.24122569230769231</v>
      </c>
      <c r="I11" s="580"/>
      <c r="J11" s="594">
        <v>40000</v>
      </c>
      <c r="K11" s="539">
        <f t="shared" si="1"/>
        <v>-25000</v>
      </c>
      <c r="L11" s="540">
        <f t="shared" si="2"/>
        <v>-0.625</v>
      </c>
      <c r="M11" s="537" t="s">
        <v>982</v>
      </c>
      <c r="N11" s="594">
        <v>42000</v>
      </c>
      <c r="O11" s="537" t="s">
        <v>1030</v>
      </c>
    </row>
    <row r="12" spans="1:17" ht="49.2" customHeight="1" thickBot="1" x14ac:dyDescent="0.35">
      <c r="A12" s="526">
        <v>8</v>
      </c>
      <c r="B12" s="116" t="s">
        <v>993</v>
      </c>
      <c r="C12" s="601">
        <v>20000</v>
      </c>
      <c r="D12" s="601">
        <f>SUMIFS(MapFy2024_25!D:D,MapFy2024_25!B:B,'D-Placemaking '!B12)</f>
        <v>0</v>
      </c>
      <c r="E12" s="602">
        <v>25000</v>
      </c>
      <c r="F12" s="603"/>
      <c r="G12" s="601">
        <f>SUMIFS(MapFy2025_26!D:D,MapFy2025_26!B:B,'D-Placemaking '!B12)</f>
        <v>0</v>
      </c>
      <c r="H12" s="604">
        <f t="shared" si="0"/>
        <v>0</v>
      </c>
      <c r="I12" s="605" t="s">
        <v>227</v>
      </c>
      <c r="J12" s="606">
        <v>0</v>
      </c>
      <c r="K12" s="607">
        <f t="shared" si="1"/>
        <v>-25000</v>
      </c>
      <c r="L12" s="608"/>
      <c r="M12" s="609" t="s">
        <v>972</v>
      </c>
      <c r="N12" s="606">
        <v>15000</v>
      </c>
      <c r="O12" s="609" t="s">
        <v>998</v>
      </c>
    </row>
    <row r="13" spans="1:17" ht="26.1" customHeight="1" thickBot="1" x14ac:dyDescent="0.35">
      <c r="A13" s="610"/>
      <c r="B13" s="611" t="s">
        <v>102</v>
      </c>
      <c r="C13" s="612">
        <f>SUM(C5:C12)</f>
        <v>526320</v>
      </c>
      <c r="D13" s="612">
        <f>SUM(D5:D12)</f>
        <v>465307</v>
      </c>
      <c r="E13" s="613">
        <f>SUM(E5:E12)</f>
        <v>597000</v>
      </c>
      <c r="F13" s="612">
        <f t="shared" ref="F13:G13" si="3">SUM(F5:F12)</f>
        <v>217884.19</v>
      </c>
      <c r="G13" s="612">
        <f t="shared" si="3"/>
        <v>257477.54</v>
      </c>
      <c r="H13" s="614">
        <f>G13/E13</f>
        <v>0.43128566164154103</v>
      </c>
      <c r="I13" s="615"/>
      <c r="J13" s="616">
        <f>SUM(J5:J12)</f>
        <v>532000</v>
      </c>
      <c r="K13" s="617">
        <f t="shared" si="1"/>
        <v>-65000</v>
      </c>
      <c r="L13" s="618">
        <f t="shared" si="2"/>
        <v>-0.12218045112781954</v>
      </c>
      <c r="M13" s="619"/>
      <c r="N13" s="616">
        <f>SUM(N5:N12)</f>
        <v>555000</v>
      </c>
      <c r="O13" s="619"/>
    </row>
  </sheetData>
  <mergeCells count="1">
    <mergeCell ref="A1:N1"/>
  </mergeCells>
  <pageMargins left="0.7" right="0.7" top="0.38541666666666702" bottom="0.75" header="0.3" footer="0.3"/>
  <pageSetup scale="85" orientation="landscape" verticalDpi="598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9"/>
  <sheetViews>
    <sheetView zoomScaleNormal="100" workbookViewId="0">
      <pane ySplit="3" topLeftCell="A4" activePane="bottomLeft" state="frozen"/>
      <selection pane="bottomLeft" sqref="A1:U1"/>
    </sheetView>
  </sheetViews>
  <sheetFormatPr defaultRowHeight="14.4" x14ac:dyDescent="0.3"/>
  <cols>
    <col min="1" max="1" width="7.88671875" style="136" customWidth="1"/>
    <col min="2" max="2" width="40.5546875" style="136" customWidth="1"/>
    <col min="3" max="3" width="14" style="136" hidden="1" customWidth="1"/>
    <col min="4" max="4" width="15.109375" style="136" bestFit="1" customWidth="1"/>
    <col min="5" max="5" width="15.5546875" style="136" hidden="1" customWidth="1"/>
    <col min="6" max="6" width="13.5546875" style="136" hidden="1" customWidth="1"/>
    <col min="7" max="7" width="14" style="136" hidden="1" customWidth="1"/>
    <col min="8" max="8" width="12.6640625" style="136" hidden="1" customWidth="1"/>
    <col min="9" max="9" width="32.5546875" style="136" hidden="1" customWidth="1"/>
    <col min="10" max="10" width="28" style="136" hidden="1" customWidth="1"/>
    <col min="11" max="13" width="0" style="136" hidden="1" customWidth="1"/>
    <col min="14" max="14" width="10.88671875" style="136" hidden="1" customWidth="1"/>
    <col min="15" max="15" width="15.5546875" style="136" bestFit="1" customWidth="1"/>
    <col min="16" max="17" width="15.5546875" style="136" hidden="1" customWidth="1"/>
    <col min="18" max="18" width="20.44140625" style="136" hidden="1" customWidth="1"/>
    <col min="19" max="19" width="15.5546875" style="136" bestFit="1" customWidth="1"/>
    <col min="20" max="20" width="15.5546875" style="136" hidden="1" customWidth="1"/>
    <col min="21" max="21" width="18.6640625" style="104" hidden="1" customWidth="1"/>
    <col min="22" max="22" width="10.5546875" style="136" bestFit="1" customWidth="1"/>
    <col min="23" max="16384" width="8.88671875" style="136"/>
  </cols>
  <sheetData>
    <row r="1" spans="1:21" ht="33.6" customHeight="1" thickBot="1" x14ac:dyDescent="0.35">
      <c r="A1" s="129" t="s">
        <v>1041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</row>
    <row r="2" spans="1:21" x14ac:dyDescent="0.3">
      <c r="A2" s="620"/>
      <c r="B2" s="621" t="s">
        <v>1039</v>
      </c>
      <c r="C2" s="622">
        <f>'A- Summary Inc_Ex'!C2</f>
        <v>0</v>
      </c>
      <c r="D2" s="622"/>
      <c r="E2" s="622"/>
      <c r="F2" s="622"/>
      <c r="G2" s="622"/>
      <c r="H2" s="623"/>
      <c r="I2" s="624"/>
      <c r="J2" s="513"/>
      <c r="K2" s="513"/>
      <c r="L2" s="513"/>
      <c r="M2" s="513"/>
      <c r="N2" s="513"/>
      <c r="O2" s="623"/>
      <c r="P2" s="625"/>
      <c r="Q2" s="622"/>
      <c r="R2" s="626"/>
      <c r="S2" s="622"/>
      <c r="T2" s="622"/>
      <c r="U2" s="627"/>
    </row>
    <row r="3" spans="1:21" ht="52.5" customHeight="1" thickBot="1" x14ac:dyDescent="0.35">
      <c r="A3" s="49"/>
      <c r="B3" s="104"/>
      <c r="C3" s="628" t="str">
        <f>'A- Summary Inc_Ex'!C3</f>
        <v>APPROVED Amended  Budget 2024_25</v>
      </c>
      <c r="D3" s="629" t="str">
        <f>'A- Summary Inc_Ex'!D3</f>
        <v>Final
FY 24_25
FYE</v>
      </c>
      <c r="E3" s="630" t="str">
        <f>'A- Summary Inc_Ex'!E3</f>
        <v>FY2025/26 ADOPTED BUDGET</v>
      </c>
      <c r="F3" s="631" t="str">
        <f>'A- Summary Inc_Ex'!F3</f>
        <v>Previous
Year toDate
3/31/2025</v>
      </c>
      <c r="G3" s="631" t="str">
        <f>'A- Summary Inc_Ex'!G3</f>
        <v>FY 25_26
 to Date
3/31/2026</v>
      </c>
      <c r="H3" s="632" t="str">
        <f>'A- Summary Inc_Ex'!H3</f>
        <v>Percentage of Adopted Budget</v>
      </c>
      <c r="I3" s="440"/>
      <c r="O3" s="633" t="s">
        <v>991</v>
      </c>
      <c r="P3" s="634" t="str">
        <f>'A- Summary Inc_Ex'!P3</f>
        <v>Amount of Change</v>
      </c>
      <c r="Q3" s="635" t="str">
        <f>'A- Summary Inc_Ex'!Q3</f>
        <v>Percentage of change</v>
      </c>
      <c r="R3" s="636" t="s">
        <v>965</v>
      </c>
      <c r="S3" s="637" t="str">
        <f>'Top Line Rep'!K3</f>
        <v>FY 2026-2027 ADOPTED BUDGET</v>
      </c>
      <c r="T3" s="637" t="s">
        <v>1007</v>
      </c>
      <c r="U3" s="633" t="s">
        <v>216</v>
      </c>
    </row>
    <row r="4" spans="1:21" ht="18.600000000000001" thickBot="1" x14ac:dyDescent="0.4">
      <c r="A4" s="638" t="s">
        <v>103</v>
      </c>
      <c r="B4" s="639" t="s">
        <v>104</v>
      </c>
      <c r="C4" s="640"/>
      <c r="D4" s="641"/>
      <c r="E4" s="640"/>
      <c r="F4" s="642"/>
      <c r="G4" s="642"/>
      <c r="H4" s="641"/>
      <c r="I4" s="641"/>
      <c r="J4" s="150"/>
      <c r="K4" s="150"/>
      <c r="L4" s="150"/>
      <c r="M4" s="150"/>
      <c r="N4" s="150"/>
      <c r="O4" s="641"/>
      <c r="P4" s="640"/>
      <c r="Q4" s="640"/>
      <c r="R4" s="643"/>
      <c r="S4" s="640"/>
      <c r="T4" s="640"/>
      <c r="U4" s="644"/>
    </row>
    <row r="5" spans="1:21" ht="26.4" x14ac:dyDescent="0.3">
      <c r="A5" s="645">
        <v>1</v>
      </c>
      <c r="B5" s="117" t="s">
        <v>105</v>
      </c>
      <c r="C5" s="646">
        <v>800000</v>
      </c>
      <c r="D5" s="647">
        <f>SUMIFS(MapFy2024_25!D:D,MapFy2024_25!B:B,'DB OSS'!B5)</f>
        <v>800000</v>
      </c>
      <c r="E5" s="648">
        <v>700000</v>
      </c>
      <c r="F5" s="649">
        <f>SUMIFS(MapFy2025_26!E:E,MapFy2025_26!B:B,'DB OSS'!B5)</f>
        <v>400000</v>
      </c>
      <c r="G5" s="650">
        <f>SUMIFS(MapFy2025_26!D:D,MapFy2025_26!B:B,'DB OSS'!B5)</f>
        <v>350000</v>
      </c>
      <c r="H5" s="495">
        <f>IF(E5=0,"",G5/E5)</f>
        <v>0.5</v>
      </c>
      <c r="I5" s="170"/>
      <c r="O5" s="647">
        <v>700000</v>
      </c>
      <c r="P5" s="651">
        <f>O5-E5</f>
        <v>0</v>
      </c>
      <c r="Q5" s="652">
        <f>(O5-E5)/O5</f>
        <v>0</v>
      </c>
      <c r="R5" s="653"/>
      <c r="S5" s="646">
        <v>800000</v>
      </c>
      <c r="T5" s="646">
        <v>800000</v>
      </c>
      <c r="U5" s="654" t="s">
        <v>1000</v>
      </c>
    </row>
    <row r="6" spans="1:21" x14ac:dyDescent="0.3">
      <c r="A6" s="655">
        <v>2</v>
      </c>
      <c r="B6" s="12" t="s">
        <v>106</v>
      </c>
      <c r="C6" s="656">
        <v>25000</v>
      </c>
      <c r="D6" s="657">
        <f>SUMIFS(MapFy2024_25!D:D,MapFy2024_25!B:B,'DB OSS'!B6)</f>
        <v>38245.760000000002</v>
      </c>
      <c r="E6" s="658">
        <v>25000</v>
      </c>
      <c r="F6" s="659">
        <f>SUMIFS(MapFy2025_26!E:E,MapFy2025_26!B:B,'DB OSS'!B6)</f>
        <v>20352.75</v>
      </c>
      <c r="G6" s="660">
        <f>SUMIFS(MapFy2025_26!D:D,MapFy2025_26!B:B,'DB OSS'!B6)</f>
        <v>15502.5</v>
      </c>
      <c r="H6" s="661">
        <f t="shared" ref="H6:H10" si="0">IF(E6=0,"",G6/E6)</f>
        <v>0.62009999999999998</v>
      </c>
      <c r="I6" s="662"/>
      <c r="O6" s="657">
        <v>20000</v>
      </c>
      <c r="P6" s="663">
        <f t="shared" ref="P6:P13" si="1">O6-E6</f>
        <v>-5000</v>
      </c>
      <c r="Q6" s="536">
        <f t="shared" ref="Q6:Q13" si="2">(O6-E6)/O6</f>
        <v>-0.25</v>
      </c>
      <c r="R6" s="228"/>
      <c r="S6" s="656">
        <v>20000</v>
      </c>
      <c r="T6" s="656">
        <v>20000</v>
      </c>
      <c r="U6" s="590"/>
    </row>
    <row r="7" spans="1:21" x14ac:dyDescent="0.3">
      <c r="A7" s="655">
        <v>3</v>
      </c>
      <c r="B7" s="12" t="s">
        <v>107</v>
      </c>
      <c r="C7" s="656">
        <v>10000</v>
      </c>
      <c r="D7" s="657">
        <f>SUMIFS(MapFy2024_25!D:D,MapFy2024_25!B:B,'DB OSS'!B7)</f>
        <v>7012</v>
      </c>
      <c r="E7" s="658">
        <v>10000</v>
      </c>
      <c r="F7" s="659">
        <f>SUMIFS(MapFy2025_26!E:E,MapFy2025_26!B:B,'DB OSS'!B7)</f>
        <v>3000</v>
      </c>
      <c r="G7" s="660">
        <f>SUMIFS(MapFy2025_26!D:D,MapFy2025_26!B:B,'DB OSS'!B7)</f>
        <v>1000</v>
      </c>
      <c r="H7" s="661">
        <f t="shared" si="0"/>
        <v>0.1</v>
      </c>
      <c r="I7" s="662"/>
      <c r="O7" s="657">
        <v>6000</v>
      </c>
      <c r="P7" s="663">
        <f t="shared" si="1"/>
        <v>-4000</v>
      </c>
      <c r="Q7" s="536">
        <f t="shared" si="2"/>
        <v>-0.66666666666666663</v>
      </c>
      <c r="R7" s="228"/>
      <c r="S7" s="656">
        <v>10000</v>
      </c>
      <c r="T7" s="656">
        <v>10000</v>
      </c>
      <c r="U7" s="590"/>
    </row>
    <row r="8" spans="1:21" x14ac:dyDescent="0.3">
      <c r="A8" s="655">
        <v>4</v>
      </c>
      <c r="B8" s="12" t="s">
        <v>108</v>
      </c>
      <c r="C8" s="656">
        <v>60000</v>
      </c>
      <c r="D8" s="657">
        <f>SUMIFS(MapFy2024_25!D:D,MapFy2024_25!B:B,'DB OSS'!B8)</f>
        <v>71416.02</v>
      </c>
      <c r="E8" s="658">
        <v>50000</v>
      </c>
      <c r="F8" s="659">
        <f>SUMIFS(MapFy2025_26!E:E,MapFy2025_26!B:B,'DB OSS'!B8)</f>
        <v>51490.74</v>
      </c>
      <c r="G8" s="660">
        <f>SUMIFS(MapFy2025_26!D:D,MapFy2025_26!B:B,'DB OSS'!B8)</f>
        <v>40812.5</v>
      </c>
      <c r="H8" s="661">
        <f t="shared" si="0"/>
        <v>0.81625000000000003</v>
      </c>
      <c r="I8" s="662"/>
      <c r="O8" s="657">
        <v>42000</v>
      </c>
      <c r="P8" s="663">
        <f t="shared" si="1"/>
        <v>-8000</v>
      </c>
      <c r="Q8" s="536">
        <f t="shared" si="2"/>
        <v>-0.19047619047619047</v>
      </c>
      <c r="R8" s="228"/>
      <c r="S8" s="656">
        <v>60000</v>
      </c>
      <c r="T8" s="656">
        <v>60000</v>
      </c>
      <c r="U8" s="590"/>
    </row>
    <row r="9" spans="1:21" x14ac:dyDescent="0.3">
      <c r="A9" s="655">
        <v>5</v>
      </c>
      <c r="B9" s="12" t="s">
        <v>109</v>
      </c>
      <c r="C9" s="656">
        <v>180000</v>
      </c>
      <c r="D9" s="657">
        <f>SUMIFS(MapFy2024_25!D:D,MapFy2024_25!B:B,'DB OSS'!B9)</f>
        <v>310522.74</v>
      </c>
      <c r="E9" s="658">
        <v>200000</v>
      </c>
      <c r="F9" s="659">
        <f>SUMIFS(MapFy2025_26!E:E,MapFy2025_26!B:B,'DB OSS'!B9)</f>
        <v>105033.71</v>
      </c>
      <c r="G9" s="660">
        <f>SUMIFS(MapFy2025_26!D:D,MapFy2025_26!B:B,'DB OSS'!B9)</f>
        <v>91183.81</v>
      </c>
      <c r="H9" s="661">
        <f t="shared" si="0"/>
        <v>0.45591904999999999</v>
      </c>
      <c r="I9" s="664" t="s">
        <v>219</v>
      </c>
      <c r="O9" s="657">
        <v>100000</v>
      </c>
      <c r="P9" s="663">
        <f t="shared" si="1"/>
        <v>-100000</v>
      </c>
      <c r="Q9" s="536">
        <f t="shared" si="2"/>
        <v>-1</v>
      </c>
      <c r="R9" s="228"/>
      <c r="S9" s="656">
        <v>150000</v>
      </c>
      <c r="T9" s="656">
        <v>150000</v>
      </c>
      <c r="U9" s="590"/>
    </row>
    <row r="10" spans="1:21" x14ac:dyDescent="0.3">
      <c r="A10" s="655">
        <v>6</v>
      </c>
      <c r="B10" s="12" t="s">
        <v>110</v>
      </c>
      <c r="C10" s="656">
        <v>15000</v>
      </c>
      <c r="D10" s="657">
        <f>SUMIFS(MapFy2024_25!D:D,MapFy2024_25!B:B,'DB OSS'!B10)</f>
        <v>15546.82</v>
      </c>
      <c r="E10" s="658">
        <v>10000</v>
      </c>
      <c r="F10" s="659">
        <f>SUMIFS(MapFy2025_26!E:E,MapFy2025_26!B:B,'DB OSS'!B10)</f>
        <v>10919.45</v>
      </c>
      <c r="G10" s="660">
        <f>SUMIFS(MapFy2025_26!D:D,MapFy2025_26!B:B,'DB OSS'!B10)</f>
        <v>11062.71</v>
      </c>
      <c r="H10" s="661">
        <f t="shared" si="0"/>
        <v>1.106271</v>
      </c>
      <c r="I10" s="662"/>
      <c r="N10" s="665">
        <f>SUM(D6:D10)</f>
        <v>442743.34</v>
      </c>
      <c r="O10" s="657">
        <v>10000</v>
      </c>
      <c r="P10" s="663">
        <f t="shared" si="1"/>
        <v>0</v>
      </c>
      <c r="Q10" s="536">
        <f t="shared" si="2"/>
        <v>0</v>
      </c>
      <c r="R10" s="228"/>
      <c r="S10" s="656">
        <v>10000</v>
      </c>
      <c r="T10" s="656">
        <v>10000</v>
      </c>
      <c r="U10" s="590"/>
    </row>
    <row r="11" spans="1:21" x14ac:dyDescent="0.3">
      <c r="A11" s="655"/>
      <c r="B11" s="106" t="s">
        <v>560</v>
      </c>
      <c r="C11" s="656"/>
      <c r="D11" s="666"/>
      <c r="E11" s="667"/>
      <c r="F11" s="659">
        <f>SUMIFS(MapFy2025_26!E:E,MapFy2025_26!B:B,'DB OSS'!B11)</f>
        <v>0</v>
      </c>
      <c r="G11" s="668"/>
      <c r="H11" s="661"/>
      <c r="I11" s="662"/>
      <c r="O11" s="669">
        <v>100000</v>
      </c>
      <c r="P11" s="670">
        <f t="shared" si="1"/>
        <v>100000</v>
      </c>
      <c r="Q11" s="671">
        <f t="shared" si="2"/>
        <v>1</v>
      </c>
      <c r="R11" s="589"/>
      <c r="S11" s="672">
        <v>0</v>
      </c>
      <c r="T11" s="672">
        <v>0</v>
      </c>
      <c r="U11" s="590"/>
    </row>
    <row r="12" spans="1:21" x14ac:dyDescent="0.3">
      <c r="A12" s="655"/>
      <c r="B12" s="12"/>
      <c r="C12" s="656"/>
      <c r="D12" s="666"/>
      <c r="E12" s="673"/>
      <c r="F12" s="674"/>
      <c r="G12" s="668"/>
      <c r="H12" s="675"/>
      <c r="I12" s="662"/>
      <c r="O12" s="666"/>
      <c r="P12" s="676"/>
      <c r="Q12" s="673"/>
      <c r="R12" s="589"/>
      <c r="S12" s="673"/>
      <c r="T12" s="673"/>
      <c r="U12" s="590"/>
    </row>
    <row r="13" spans="1:21" ht="18" x14ac:dyDescent="0.35">
      <c r="A13" s="655">
        <f>A10+1</f>
        <v>7</v>
      </c>
      <c r="B13" s="677" t="s">
        <v>112</v>
      </c>
      <c r="C13" s="678">
        <f t="shared" ref="C13:G13" si="3">SUM(C5:C12)</f>
        <v>1090000</v>
      </c>
      <c r="D13" s="679">
        <f>SUM(D5:D12)</f>
        <v>1242743.3400000001</v>
      </c>
      <c r="E13" s="678">
        <f t="shared" si="3"/>
        <v>995000</v>
      </c>
      <c r="F13" s="680">
        <f>SUM(F5:F12)</f>
        <v>590796.64999999991</v>
      </c>
      <c r="G13" s="680">
        <f t="shared" si="3"/>
        <v>509561.52</v>
      </c>
      <c r="H13" s="681">
        <f>G13/E13</f>
        <v>0.51212213065326639</v>
      </c>
      <c r="I13" s="682"/>
      <c r="O13" s="679">
        <f t="shared" ref="O13" si="4">SUM(O5:O12)</f>
        <v>978000</v>
      </c>
      <c r="P13" s="683">
        <f t="shared" si="1"/>
        <v>-17000</v>
      </c>
      <c r="Q13" s="684">
        <f t="shared" si="2"/>
        <v>-1.7382413087934562E-2</v>
      </c>
      <c r="R13" s="659"/>
      <c r="S13" s="678">
        <f t="shared" ref="S13:T13" si="5">SUM(S5:S12)</f>
        <v>1050000</v>
      </c>
      <c r="T13" s="678">
        <f t="shared" si="5"/>
        <v>1050000</v>
      </c>
      <c r="U13" s="657"/>
    </row>
    <row r="14" spans="1:21" ht="18" x14ac:dyDescent="0.35">
      <c r="A14" s="685"/>
      <c r="B14" s="686"/>
      <c r="C14" s="663"/>
      <c r="D14" s="663"/>
      <c r="E14" s="663"/>
      <c r="F14" s="663"/>
      <c r="G14" s="663"/>
      <c r="H14" s="661"/>
      <c r="I14" s="662"/>
      <c r="O14" s="687"/>
      <c r="P14" s="663"/>
      <c r="Q14" s="663"/>
      <c r="R14" s="589"/>
      <c r="S14" s="663"/>
      <c r="T14" s="663"/>
      <c r="U14" s="590"/>
    </row>
    <row r="15" spans="1:21" ht="18" x14ac:dyDescent="0.35">
      <c r="A15" s="655"/>
      <c r="B15" s="688" t="s">
        <v>113</v>
      </c>
      <c r="C15" s="689"/>
      <c r="D15" s="690"/>
      <c r="E15" s="689"/>
      <c r="F15" s="691"/>
      <c r="G15" s="692"/>
      <c r="H15" s="693"/>
      <c r="I15" s="682"/>
      <c r="O15" s="690"/>
      <c r="P15" s="694"/>
      <c r="Q15" s="689"/>
      <c r="R15" s="589"/>
      <c r="S15" s="689"/>
      <c r="T15" s="689"/>
      <c r="U15" s="590"/>
    </row>
    <row r="16" spans="1:21" ht="15.6" x14ac:dyDescent="0.3">
      <c r="A16" s="655"/>
      <c r="B16" s="695" t="s">
        <v>114</v>
      </c>
      <c r="C16" s="696"/>
      <c r="D16" s="697"/>
      <c r="E16" s="696"/>
      <c r="F16" s="698"/>
      <c r="G16" s="699"/>
      <c r="H16" s="700"/>
      <c r="I16" s="662"/>
      <c r="O16" s="697"/>
      <c r="P16" s="701"/>
      <c r="Q16" s="696"/>
      <c r="R16" s="589"/>
      <c r="S16" s="696"/>
      <c r="T16" s="696"/>
      <c r="U16" s="590"/>
    </row>
    <row r="17" spans="1:22" ht="15.6" x14ac:dyDescent="0.3">
      <c r="A17" s="655">
        <f>A13+1</f>
        <v>8</v>
      </c>
      <c r="B17" s="13" t="s">
        <v>115</v>
      </c>
      <c r="C17" s="702">
        <v>55000</v>
      </c>
      <c r="D17" s="657">
        <f>SUMIFS(MapFy2024_25!D:D,MapFy2024_25!B:B,'DB OSS'!B17)</f>
        <v>61022.239999999998</v>
      </c>
      <c r="E17" s="658">
        <v>68000</v>
      </c>
      <c r="F17" s="656">
        <f>SUMIFS(MapFy2025_26!E:E,MapFy2025_26!B:B,'DB OSS'!B17)</f>
        <v>28377.919999999998</v>
      </c>
      <c r="G17" s="659">
        <f>SUMIFS(MapFy2025_26!D:D,MapFy2025_26!B:B,'DB OSS'!B17)</f>
        <v>30343.93</v>
      </c>
      <c r="H17" s="661">
        <f t="shared" ref="H17:H22" si="6">IF(E17=0,"",G17/E17)</f>
        <v>0.44623426470588234</v>
      </c>
      <c r="I17" s="662"/>
      <c r="O17" s="657">
        <v>68000</v>
      </c>
      <c r="P17" s="663">
        <f>O17-E17</f>
        <v>0</v>
      </c>
      <c r="Q17" s="536">
        <f>(O17-E17)/O17</f>
        <v>0</v>
      </c>
      <c r="R17" s="659"/>
      <c r="S17" s="656">
        <v>71000</v>
      </c>
      <c r="T17" s="656">
        <v>71000</v>
      </c>
      <c r="U17" s="590"/>
      <c r="V17" s="703"/>
    </row>
    <row r="18" spans="1:22" ht="15.6" x14ac:dyDescent="0.3">
      <c r="A18" s="655">
        <f>A17+1</f>
        <v>9</v>
      </c>
      <c r="B18" s="13" t="s">
        <v>116</v>
      </c>
      <c r="C18" s="702">
        <v>100000</v>
      </c>
      <c r="D18" s="657">
        <f>SUMIFS(MapFy2024_25!D:D,MapFy2024_25!B:B,'DB OSS'!B18)</f>
        <v>102919.36</v>
      </c>
      <c r="E18" s="658">
        <v>110000</v>
      </c>
      <c r="F18" s="656">
        <f>SUMIFS(MapFy2025_26!E:E,MapFy2025_26!B:B,'DB OSS'!B18)</f>
        <v>49934.78</v>
      </c>
      <c r="G18" s="659">
        <f>SUMIFS(MapFy2025_26!D:D,MapFy2025_26!B:B,'DB OSS'!B18)</f>
        <v>54926.6</v>
      </c>
      <c r="H18" s="661">
        <f t="shared" si="6"/>
        <v>0.49933272727272726</v>
      </c>
      <c r="I18" s="662"/>
      <c r="J18" s="665"/>
      <c r="K18" s="665"/>
      <c r="O18" s="704">
        <v>110000</v>
      </c>
      <c r="P18" s="705">
        <f t="shared" ref="P18:P49" si="7">O18-E18</f>
        <v>0</v>
      </c>
      <c r="Q18" s="540">
        <f t="shared" ref="Q18:Q49" si="8">(O18-E18)/O18</f>
        <v>0</v>
      </c>
      <c r="R18" s="589"/>
      <c r="S18" s="702">
        <v>115000</v>
      </c>
      <c r="T18" s="702">
        <v>115000</v>
      </c>
      <c r="U18" s="590"/>
      <c r="V18" s="703"/>
    </row>
    <row r="19" spans="1:22" ht="15.6" x14ac:dyDescent="0.3">
      <c r="A19" s="655">
        <f t="shared" ref="A19:A28" si="9">A18+1</f>
        <v>10</v>
      </c>
      <c r="B19" s="13" t="s">
        <v>117</v>
      </c>
      <c r="C19" s="702">
        <v>48000</v>
      </c>
      <c r="D19" s="657">
        <f>SUMIFS(MapFy2024_25!D:D,MapFy2024_25!B:B,'DB OSS'!B19)</f>
        <v>50321</v>
      </c>
      <c r="E19" s="658">
        <v>50000</v>
      </c>
      <c r="F19" s="656">
        <f>SUMIFS(MapFy2025_26!E:E,MapFy2025_26!B:B,'DB OSS'!B19)</f>
        <v>24714.75</v>
      </c>
      <c r="G19" s="659">
        <f>SUMIFS(MapFy2025_26!D:D,MapFy2025_26!B:B,'DB OSS'!B19)</f>
        <v>34322.5</v>
      </c>
      <c r="H19" s="661">
        <f t="shared" si="6"/>
        <v>0.68645</v>
      </c>
      <c r="I19" s="662"/>
      <c r="J19" s="665"/>
      <c r="K19" s="665"/>
      <c r="O19" s="704">
        <v>50000</v>
      </c>
      <c r="P19" s="705">
        <f t="shared" si="7"/>
        <v>0</v>
      </c>
      <c r="Q19" s="540">
        <f t="shared" si="8"/>
        <v>0</v>
      </c>
      <c r="R19" s="589"/>
      <c r="S19" s="702">
        <v>45000</v>
      </c>
      <c r="T19" s="702">
        <v>50000</v>
      </c>
      <c r="U19" s="590"/>
    </row>
    <row r="20" spans="1:22" ht="15.6" x14ac:dyDescent="0.3">
      <c r="A20" s="655">
        <f t="shared" si="9"/>
        <v>11</v>
      </c>
      <c r="B20" s="13" t="s">
        <v>118</v>
      </c>
      <c r="C20" s="702">
        <v>10000</v>
      </c>
      <c r="D20" s="657">
        <f>SUMIFS(MapFy2024_25!D:D,MapFy2024_25!B:B,'DB OSS'!B20)</f>
        <v>14123.68</v>
      </c>
      <c r="E20" s="658">
        <v>12000</v>
      </c>
      <c r="F20" s="656">
        <f>SUMIFS(MapFy2025_26!E:E,MapFy2025_26!B:B,'DB OSS'!B20)</f>
        <v>3014.2</v>
      </c>
      <c r="G20" s="659">
        <f>SUMIFS(MapFy2025_26!D:D,MapFy2025_26!B:B,'DB OSS'!B20)</f>
        <v>0</v>
      </c>
      <c r="H20" s="661">
        <f t="shared" si="6"/>
        <v>0</v>
      </c>
      <c r="I20" s="662"/>
      <c r="O20" s="704">
        <v>5000</v>
      </c>
      <c r="P20" s="705">
        <f t="shared" si="7"/>
        <v>-7000</v>
      </c>
      <c r="Q20" s="540">
        <f t="shared" si="8"/>
        <v>-1.4</v>
      </c>
      <c r="R20" s="589" t="s">
        <v>960</v>
      </c>
      <c r="S20" s="702">
        <v>10000</v>
      </c>
      <c r="T20" s="702">
        <v>15000</v>
      </c>
      <c r="U20" s="590"/>
    </row>
    <row r="21" spans="1:22" ht="16.2" thickBot="1" x14ac:dyDescent="0.35">
      <c r="A21" s="655">
        <f t="shared" si="9"/>
        <v>12</v>
      </c>
      <c r="B21" s="13" t="s">
        <v>119</v>
      </c>
      <c r="C21" s="702">
        <v>65000</v>
      </c>
      <c r="D21" s="706">
        <f>SUMIFS(MapFy2024_25!D:D,MapFy2024_25!B:B,'DB OSS'!B21)</f>
        <v>67718.42</v>
      </c>
      <c r="E21" s="707">
        <v>65000</v>
      </c>
      <c r="F21" s="708">
        <f>SUMIFS(MapFy2025_26!E:E,MapFy2025_26!B:B,'DB OSS'!B21)</f>
        <v>28099.22</v>
      </c>
      <c r="G21" s="709">
        <f>SUMIFS(MapFy2025_26!D:D,MapFy2025_26!B:B,'DB OSS'!B21)</f>
        <v>29000</v>
      </c>
      <c r="H21" s="710">
        <f t="shared" si="6"/>
        <v>0.44615384615384618</v>
      </c>
      <c r="I21" s="711"/>
      <c r="J21" s="374"/>
      <c r="K21" s="374"/>
      <c r="L21" s="374"/>
      <c r="M21" s="374"/>
      <c r="N21" s="374"/>
      <c r="O21" s="712">
        <v>65000</v>
      </c>
      <c r="P21" s="713">
        <f t="shared" si="7"/>
        <v>0</v>
      </c>
      <c r="Q21" s="328">
        <f t="shared" si="8"/>
        <v>0</v>
      </c>
      <c r="R21" s="589"/>
      <c r="S21" s="714">
        <v>68000</v>
      </c>
      <c r="T21" s="714">
        <v>68000</v>
      </c>
      <c r="U21" s="590"/>
    </row>
    <row r="22" spans="1:22" x14ac:dyDescent="0.3">
      <c r="A22" s="655"/>
      <c r="B22" s="12" t="s">
        <v>214</v>
      </c>
      <c r="C22" s="672">
        <f>SUM(C17:C21)</f>
        <v>278000</v>
      </c>
      <c r="D22" s="715">
        <f>SUM(D17:D21)</f>
        <v>296104.7</v>
      </c>
      <c r="E22" s="716">
        <f t="shared" ref="E22:G22" si="10">SUM(E17:E21)</f>
        <v>305000</v>
      </c>
      <c r="F22" s="717">
        <f t="shared" si="10"/>
        <v>134140.87</v>
      </c>
      <c r="G22" s="718">
        <f t="shared" si="10"/>
        <v>148593.03</v>
      </c>
      <c r="H22" s="495">
        <f t="shared" si="6"/>
        <v>0.48719026229508194</v>
      </c>
      <c r="I22" s="170"/>
      <c r="O22" s="715">
        <f t="shared" ref="O22" si="11">SUM(O17:O21)</f>
        <v>298000</v>
      </c>
      <c r="P22" s="719">
        <f t="shared" si="7"/>
        <v>-7000</v>
      </c>
      <c r="Q22" s="720">
        <f t="shared" si="8"/>
        <v>-2.3489932885906041E-2</v>
      </c>
      <c r="R22" s="589"/>
      <c r="S22" s="717">
        <f t="shared" ref="S22" si="12">SUM(S17:S21)</f>
        <v>309000</v>
      </c>
      <c r="T22" s="717">
        <f>SUM(T17:T21)</f>
        <v>319000</v>
      </c>
      <c r="U22" s="590"/>
    </row>
    <row r="23" spans="1:22" ht="15.6" x14ac:dyDescent="0.3">
      <c r="A23" s="685"/>
      <c r="B23" s="721"/>
      <c r="C23" s="670"/>
      <c r="D23" s="670"/>
      <c r="E23" s="722"/>
      <c r="F23" s="670"/>
      <c r="G23" s="723"/>
      <c r="H23" s="724"/>
      <c r="I23" s="662"/>
      <c r="O23" s="725"/>
      <c r="P23" s="719"/>
      <c r="Q23" s="720"/>
      <c r="R23" s="589"/>
      <c r="S23" s="670"/>
      <c r="T23" s="670"/>
      <c r="U23" s="590"/>
    </row>
    <row r="24" spans="1:22" ht="15.6" x14ac:dyDescent="0.3">
      <c r="A24" s="655">
        <f>A21+1</f>
        <v>13</v>
      </c>
      <c r="B24" s="13" t="s">
        <v>120</v>
      </c>
      <c r="C24" s="702">
        <v>25000</v>
      </c>
      <c r="D24" s="657">
        <f>SUMIFS(MapFy2024_25!D:D,MapFy2024_25!B:B,'DB OSS'!B24)</f>
        <v>19431.72</v>
      </c>
      <c r="E24" s="658">
        <v>20000</v>
      </c>
      <c r="F24" s="656">
        <f>SUMIFS(MapFy2025_26!E:E,MapFy2025_26!B:B,'DB OSS'!B24)</f>
        <v>4882.5</v>
      </c>
      <c r="G24" s="659">
        <f>SUMIFS(MapFy2025_26!D:D,MapFy2025_26!B:B,'DB OSS'!B24)</f>
        <v>5612.5</v>
      </c>
      <c r="H24" s="661">
        <f t="shared" ref="H24:H30" si="13">IF(E24=0,"",G24/E24)</f>
        <v>0.28062500000000001</v>
      </c>
      <c r="I24" s="662"/>
      <c r="O24" s="704">
        <v>10000</v>
      </c>
      <c r="P24" s="719">
        <f t="shared" si="7"/>
        <v>-10000</v>
      </c>
      <c r="Q24" s="720">
        <f t="shared" si="8"/>
        <v>-1</v>
      </c>
      <c r="R24" s="589" t="s">
        <v>956</v>
      </c>
      <c r="S24" s="702">
        <v>50000</v>
      </c>
      <c r="T24" s="702">
        <v>55000</v>
      </c>
      <c r="U24" s="726" t="s">
        <v>1001</v>
      </c>
    </row>
    <row r="25" spans="1:22" ht="15.6" x14ac:dyDescent="0.3">
      <c r="A25" s="655">
        <f t="shared" si="9"/>
        <v>14</v>
      </c>
      <c r="B25" s="13" t="s">
        <v>121</v>
      </c>
      <c r="C25" s="702">
        <v>25000</v>
      </c>
      <c r="D25" s="657">
        <f>SUMIFS(MapFy2024_25!D:D,MapFy2024_25!B:B,'DB OSS'!B25)</f>
        <v>25784.240000000002</v>
      </c>
      <c r="E25" s="658">
        <v>20000</v>
      </c>
      <c r="F25" s="656">
        <f>SUMIFS(MapFy2025_26!E:E,MapFy2025_26!B:B,'DB OSS'!B25)</f>
        <v>3233.3</v>
      </c>
      <c r="G25" s="659">
        <f>SUMIFS(MapFy2025_26!D:D,MapFy2025_26!B:B,'DB OSS'!B25)</f>
        <v>1879.63</v>
      </c>
      <c r="H25" s="661">
        <f t="shared" si="13"/>
        <v>9.3981500000000009E-2</v>
      </c>
      <c r="I25" s="662"/>
      <c r="O25" s="704">
        <v>12000</v>
      </c>
      <c r="P25" s="719">
        <f t="shared" si="7"/>
        <v>-8000</v>
      </c>
      <c r="Q25" s="720">
        <f t="shared" si="8"/>
        <v>-0.66666666666666663</v>
      </c>
      <c r="R25" s="589" t="s">
        <v>957</v>
      </c>
      <c r="S25" s="702">
        <v>10000</v>
      </c>
      <c r="T25" s="702">
        <v>15000</v>
      </c>
      <c r="U25" s="590"/>
    </row>
    <row r="26" spans="1:22" ht="15.6" x14ac:dyDescent="0.3">
      <c r="A26" s="655">
        <f t="shared" si="9"/>
        <v>15</v>
      </c>
      <c r="B26" s="13" t="s">
        <v>122</v>
      </c>
      <c r="C26" s="702">
        <v>95000</v>
      </c>
      <c r="D26" s="657">
        <f>SUMIFS(MapFy2024_25!D:D,MapFy2024_25!B:B,'DB OSS'!B26)</f>
        <v>127505.83</v>
      </c>
      <c r="E26" s="658">
        <v>68000</v>
      </c>
      <c r="F26" s="656">
        <f>SUMIFS(MapFy2025_26!E:E,MapFy2025_26!B:B,'DB OSS'!B26)</f>
        <v>63070.5</v>
      </c>
      <c r="G26" s="659">
        <f>SUMIFS(MapFy2025_26!D:D,MapFy2025_26!B:B,'DB OSS'!B26)</f>
        <v>59769.54</v>
      </c>
      <c r="H26" s="661">
        <f t="shared" si="13"/>
        <v>0.87896382352941183</v>
      </c>
      <c r="I26" s="662"/>
      <c r="K26" s="136" t="s">
        <v>276</v>
      </c>
      <c r="O26" s="704">
        <v>68000</v>
      </c>
      <c r="P26" s="719">
        <f t="shared" si="7"/>
        <v>0</v>
      </c>
      <c r="Q26" s="720">
        <f t="shared" si="8"/>
        <v>0</v>
      </c>
      <c r="R26" s="589"/>
      <c r="S26" s="702">
        <v>65000</v>
      </c>
      <c r="T26" s="702">
        <v>70000</v>
      </c>
      <c r="U26" s="590"/>
    </row>
    <row r="27" spans="1:22" ht="15.6" x14ac:dyDescent="0.3">
      <c r="A27" s="655">
        <f t="shared" si="9"/>
        <v>16</v>
      </c>
      <c r="B27" s="13" t="s">
        <v>123</v>
      </c>
      <c r="C27" s="656">
        <v>10000</v>
      </c>
      <c r="D27" s="657">
        <f>SUMIFS(MapFy2024_25!D:D,MapFy2024_25!B:B,'DB OSS'!B27)</f>
        <v>3473.83</v>
      </c>
      <c r="E27" s="658">
        <v>8000</v>
      </c>
      <c r="F27" s="656">
        <f>SUMIFS(MapFy2025_26!E:E,MapFy2025_26!B:B,'DB OSS'!B27)</f>
        <v>2907.42</v>
      </c>
      <c r="G27" s="659">
        <f>SUMIFS(MapFy2025_26!D:D,MapFy2025_26!B:B,'DB OSS'!B27)</f>
        <v>3942.73</v>
      </c>
      <c r="H27" s="661">
        <f t="shared" si="13"/>
        <v>0.49284125000000001</v>
      </c>
      <c r="I27" s="662"/>
      <c r="O27" s="704">
        <v>4000</v>
      </c>
      <c r="P27" s="719">
        <f t="shared" si="7"/>
        <v>-4000</v>
      </c>
      <c r="Q27" s="720">
        <f t="shared" si="8"/>
        <v>-1</v>
      </c>
      <c r="R27" s="589" t="s">
        <v>958</v>
      </c>
      <c r="S27" s="702">
        <v>4000</v>
      </c>
      <c r="T27" s="702">
        <v>4000</v>
      </c>
      <c r="U27" s="590"/>
    </row>
    <row r="28" spans="1:22" ht="16.2" thickBot="1" x14ac:dyDescent="0.35">
      <c r="A28" s="655">
        <f t="shared" si="9"/>
        <v>17</v>
      </c>
      <c r="B28" s="112" t="s">
        <v>124</v>
      </c>
      <c r="C28" s="708">
        <v>3000</v>
      </c>
      <c r="D28" s="706">
        <f>SUMIFS(MapFy2024_25!D:D,MapFy2024_25!B:B,'DB OSS'!B28)</f>
        <v>2104.16</v>
      </c>
      <c r="E28" s="707">
        <v>3500</v>
      </c>
      <c r="F28" s="708">
        <f>SUMIFS(MapFy2025_26!E:E,MapFy2025_26!B:B,'DB OSS'!B28)</f>
        <v>0</v>
      </c>
      <c r="G28" s="709">
        <f>SUMIFS(MapFy2025_26!D:D,MapFy2025_26!B:B,'DB OSS'!B28)</f>
        <v>0</v>
      </c>
      <c r="H28" s="710">
        <f t="shared" si="13"/>
        <v>0</v>
      </c>
      <c r="I28" s="711"/>
      <c r="J28" s="374"/>
      <c r="K28" s="374"/>
      <c r="L28" s="374"/>
      <c r="M28" s="374"/>
      <c r="N28" s="374"/>
      <c r="O28" s="712">
        <v>2500</v>
      </c>
      <c r="P28" s="727">
        <f t="shared" si="7"/>
        <v>-1000</v>
      </c>
      <c r="Q28" s="328">
        <f t="shared" si="8"/>
        <v>-0.4</v>
      </c>
      <c r="R28" s="589" t="s">
        <v>959</v>
      </c>
      <c r="S28" s="714">
        <v>2500</v>
      </c>
      <c r="T28" s="714">
        <v>2500</v>
      </c>
      <c r="U28" s="590"/>
    </row>
    <row r="29" spans="1:22" ht="16.2" thickBot="1" x14ac:dyDescent="0.35">
      <c r="A29" s="655">
        <f>A28+1</f>
        <v>18</v>
      </c>
      <c r="B29" s="728" t="s">
        <v>580</v>
      </c>
      <c r="C29" s="729">
        <f>SUM(C24:C28)</f>
        <v>158000</v>
      </c>
      <c r="D29" s="730">
        <f>SUM(D24:D28)</f>
        <v>178299.78</v>
      </c>
      <c r="E29" s="731">
        <f t="shared" ref="E29:G29" si="14">SUM(E24:E28)</f>
        <v>119500</v>
      </c>
      <c r="F29" s="732">
        <f t="shared" si="14"/>
        <v>74093.72</v>
      </c>
      <c r="G29" s="733">
        <f t="shared" si="14"/>
        <v>71204.399999999994</v>
      </c>
      <c r="H29" s="472">
        <f t="shared" si="13"/>
        <v>0.59585271966527187</v>
      </c>
      <c r="I29" s="734"/>
      <c r="J29" s="374"/>
      <c r="K29" s="374"/>
      <c r="L29" s="374"/>
      <c r="M29" s="374"/>
      <c r="N29" s="374"/>
      <c r="O29" s="735">
        <f t="shared" ref="O29" si="15">SUM(O24:O28)</f>
        <v>96500</v>
      </c>
      <c r="P29" s="736">
        <f t="shared" si="7"/>
        <v>-23000</v>
      </c>
      <c r="Q29" s="737">
        <f t="shared" si="8"/>
        <v>-0.23834196891191708</v>
      </c>
      <c r="R29" s="589"/>
      <c r="S29" s="738">
        <f t="shared" ref="S29:T29" si="16">SUM(S24:S28)</f>
        <v>131500</v>
      </c>
      <c r="T29" s="738">
        <f t="shared" si="16"/>
        <v>146500</v>
      </c>
      <c r="U29" s="590"/>
    </row>
    <row r="30" spans="1:22" ht="15.6" x14ac:dyDescent="0.3">
      <c r="A30" s="655"/>
      <c r="B30" s="739" t="s">
        <v>125</v>
      </c>
      <c r="C30" s="740">
        <f>C29+C22</f>
        <v>436000</v>
      </c>
      <c r="D30" s="729">
        <f>D29+D22</f>
        <v>474404.48</v>
      </c>
      <c r="E30" s="716">
        <f>E29+E22</f>
        <v>424500</v>
      </c>
      <c r="F30" s="729">
        <f>F29+F22</f>
        <v>208234.59</v>
      </c>
      <c r="G30" s="741">
        <f>G29+G22</f>
        <v>219797.43</v>
      </c>
      <c r="H30" s="495">
        <f t="shared" si="13"/>
        <v>0.51777957597173141</v>
      </c>
      <c r="I30" s="170"/>
      <c r="O30" s="715">
        <f>O29+O22</f>
        <v>394500</v>
      </c>
      <c r="P30" s="742">
        <f t="shared" si="7"/>
        <v>-30000</v>
      </c>
      <c r="Q30" s="720">
        <f t="shared" si="8"/>
        <v>-7.6045627376425853E-2</v>
      </c>
      <c r="R30" s="589"/>
      <c r="S30" s="717">
        <f>S29+S22</f>
        <v>440500</v>
      </c>
      <c r="T30" s="717">
        <f>T29+T22</f>
        <v>465500</v>
      </c>
      <c r="U30" s="590"/>
    </row>
    <row r="31" spans="1:22" ht="15.6" x14ac:dyDescent="0.3">
      <c r="A31" s="655"/>
      <c r="B31" s="695" t="s">
        <v>126</v>
      </c>
      <c r="C31" s="696"/>
      <c r="D31" s="697"/>
      <c r="E31" s="696"/>
      <c r="F31" s="698"/>
      <c r="G31" s="699"/>
      <c r="H31" s="700"/>
      <c r="I31" s="662"/>
      <c r="O31" s="697"/>
      <c r="P31" s="701"/>
      <c r="Q31" s="696"/>
      <c r="R31" s="589"/>
      <c r="S31" s="696"/>
      <c r="T31" s="696"/>
      <c r="U31" s="590"/>
    </row>
    <row r="32" spans="1:22" ht="15.6" x14ac:dyDescent="0.3">
      <c r="A32" s="655">
        <f>A29+1</f>
        <v>19</v>
      </c>
      <c r="B32" s="13" t="s">
        <v>232</v>
      </c>
      <c r="C32" s="656">
        <v>22000</v>
      </c>
      <c r="D32" s="704">
        <f>SUMIFS(MapFy2024_25!D:D,MapFy2024_25!B:B,'DB OSS'!B32)</f>
        <v>44693.37</v>
      </c>
      <c r="E32" s="658">
        <v>20000</v>
      </c>
      <c r="F32" s="743">
        <f>SUMIFS(MapFy2025_26!E:E,MapFy2025_26!B:B,'DB OSS'!B32)</f>
        <v>7550</v>
      </c>
      <c r="G32" s="743">
        <f>SUMIFS(MapFy2025_26!D:D,MapFy2025_26!B:B,'DB OSS'!B32)</f>
        <v>18047.580000000002</v>
      </c>
      <c r="H32" s="744">
        <f t="shared" ref="H32:H38" si="17">IF(E32=0,"",G32/E32)</f>
        <v>0.90237900000000004</v>
      </c>
      <c r="I32" s="745"/>
      <c r="J32" s="746"/>
      <c r="K32" s="746" t="s">
        <v>503</v>
      </c>
      <c r="L32" s="746"/>
      <c r="M32" s="746"/>
      <c r="N32" s="746"/>
      <c r="O32" s="704">
        <v>20000</v>
      </c>
      <c r="P32" s="719">
        <f t="shared" si="7"/>
        <v>0</v>
      </c>
      <c r="Q32" s="720">
        <f t="shared" si="8"/>
        <v>0</v>
      </c>
      <c r="R32" s="589"/>
      <c r="S32" s="702">
        <v>20000</v>
      </c>
      <c r="T32" s="702">
        <v>20000</v>
      </c>
      <c r="U32" s="590"/>
    </row>
    <row r="33" spans="1:21" ht="15.6" x14ac:dyDescent="0.3">
      <c r="A33" s="655">
        <f t="shared" ref="A33:A37" si="18">A32+1</f>
        <v>20</v>
      </c>
      <c r="B33" s="13" t="s">
        <v>127</v>
      </c>
      <c r="C33" s="656">
        <v>8000</v>
      </c>
      <c r="D33" s="657">
        <f>SUMIFS(MapFy2024_25!D:D,MapFy2024_25!B:B,'DB OSS'!B33)</f>
        <v>3150.87</v>
      </c>
      <c r="E33" s="658">
        <v>10000</v>
      </c>
      <c r="F33" s="659">
        <f>SUMIFS(MapFy2025_26!E:E,MapFy2025_26!B:B,'DB OSS'!B33)</f>
        <v>180</v>
      </c>
      <c r="G33" s="659">
        <f>SUMIFS(MapFy2025_26!D:D,MapFy2025_26!B:B,'DB OSS'!B33)</f>
        <v>892.81</v>
      </c>
      <c r="H33" s="661">
        <f t="shared" si="17"/>
        <v>8.9280999999999999E-2</v>
      </c>
      <c r="I33" s="662"/>
      <c r="O33" s="704">
        <v>10000</v>
      </c>
      <c r="P33" s="719">
        <f t="shared" si="7"/>
        <v>0</v>
      </c>
      <c r="Q33" s="720">
        <f t="shared" si="8"/>
        <v>0</v>
      </c>
      <c r="R33" s="589"/>
      <c r="S33" s="702">
        <v>10000</v>
      </c>
      <c r="T33" s="702">
        <v>10000</v>
      </c>
      <c r="U33" s="590"/>
    </row>
    <row r="34" spans="1:21" ht="15.6" x14ac:dyDescent="0.3">
      <c r="A34" s="655">
        <f t="shared" si="18"/>
        <v>21</v>
      </c>
      <c r="B34" s="13" t="s">
        <v>128</v>
      </c>
      <c r="C34" s="656">
        <v>40000</v>
      </c>
      <c r="D34" s="657">
        <f>SUMIFS(MapFy2024_25!D:D,MapFy2024_25!B:B,'DB OSS'!B34)</f>
        <v>16863.25</v>
      </c>
      <c r="E34" s="658">
        <v>40000</v>
      </c>
      <c r="F34" s="659">
        <f>SUMIFS(MapFy2025_26!E:E,MapFy2025_26!B:B,'DB OSS'!B34)</f>
        <v>10007.83</v>
      </c>
      <c r="G34" s="659">
        <f>SUMIFS(MapFy2025_26!D:D,MapFy2025_26!B:B,'DB OSS'!B34)</f>
        <v>26658.720000000001</v>
      </c>
      <c r="H34" s="661">
        <f t="shared" si="17"/>
        <v>0.66646800000000006</v>
      </c>
      <c r="I34" s="662"/>
      <c r="O34" s="704">
        <v>40000</v>
      </c>
      <c r="P34" s="719">
        <f t="shared" si="7"/>
        <v>0</v>
      </c>
      <c r="Q34" s="720">
        <f t="shared" si="8"/>
        <v>0</v>
      </c>
      <c r="R34" s="589"/>
      <c r="S34" s="702">
        <v>35000</v>
      </c>
      <c r="T34" s="702">
        <v>35000</v>
      </c>
      <c r="U34" s="590"/>
    </row>
    <row r="35" spans="1:21" ht="15.6" x14ac:dyDescent="0.3">
      <c r="A35" s="655">
        <f t="shared" si="18"/>
        <v>22</v>
      </c>
      <c r="B35" s="13" t="s">
        <v>129</v>
      </c>
      <c r="C35" s="656">
        <v>15000</v>
      </c>
      <c r="D35" s="657">
        <f>SUMIFS(MapFy2024_25!D:D,MapFy2024_25!B:B,'DB OSS'!B35)</f>
        <v>14376.12</v>
      </c>
      <c r="E35" s="658">
        <v>12000</v>
      </c>
      <c r="F35" s="659">
        <f>SUMIFS(MapFy2025_26!E:E,MapFy2025_26!B:B,'DB OSS'!B35)</f>
        <v>9153.24</v>
      </c>
      <c r="G35" s="659">
        <f>SUMIFS(MapFy2025_26!D:D,MapFy2025_26!B:B,'DB OSS'!B35)</f>
        <v>2189.88</v>
      </c>
      <c r="H35" s="661">
        <f t="shared" si="17"/>
        <v>0.18249000000000001</v>
      </c>
      <c r="I35" s="662"/>
      <c r="O35" s="704">
        <v>5000</v>
      </c>
      <c r="P35" s="747">
        <f t="shared" si="7"/>
        <v>-7000</v>
      </c>
      <c r="Q35" s="720">
        <f t="shared" si="8"/>
        <v>-1.4</v>
      </c>
      <c r="R35" s="589" t="s">
        <v>960</v>
      </c>
      <c r="S35" s="702">
        <v>6000</v>
      </c>
      <c r="T35" s="702">
        <v>6000</v>
      </c>
      <c r="U35" s="590"/>
    </row>
    <row r="36" spans="1:21" ht="15.6" x14ac:dyDescent="0.3">
      <c r="A36" s="655">
        <f t="shared" si="18"/>
        <v>23</v>
      </c>
      <c r="B36" s="13" t="s">
        <v>130</v>
      </c>
      <c r="C36" s="656">
        <v>48000</v>
      </c>
      <c r="D36" s="657">
        <f>SUMIFS(MapFy2024_25!D:D,MapFy2024_25!B:B,'DB OSS'!B36)</f>
        <v>49841.56</v>
      </c>
      <c r="E36" s="658">
        <v>42000</v>
      </c>
      <c r="F36" s="659">
        <f>SUMIFS(MapFy2025_26!E:E,MapFy2025_26!B:B,'DB OSS'!B36)</f>
        <v>17966.91</v>
      </c>
      <c r="G36" s="659">
        <f>SUMIFS(MapFy2025_26!D:D,MapFy2025_26!B:B,'DB OSS'!B36)</f>
        <v>22449.86</v>
      </c>
      <c r="H36" s="661">
        <f t="shared" si="17"/>
        <v>0.53452047619047616</v>
      </c>
      <c r="I36" s="662"/>
      <c r="O36" s="704">
        <v>35000</v>
      </c>
      <c r="P36" s="747">
        <f t="shared" si="7"/>
        <v>-7000</v>
      </c>
      <c r="Q36" s="720">
        <f t="shared" si="8"/>
        <v>-0.2</v>
      </c>
      <c r="R36" s="589" t="s">
        <v>960</v>
      </c>
      <c r="S36" s="702">
        <v>30000</v>
      </c>
      <c r="T36" s="702">
        <v>30000</v>
      </c>
      <c r="U36" s="590"/>
    </row>
    <row r="37" spans="1:21" ht="15.6" x14ac:dyDescent="0.3">
      <c r="A37" s="655">
        <f t="shared" si="18"/>
        <v>24</v>
      </c>
      <c r="B37" s="13" t="s">
        <v>131</v>
      </c>
      <c r="C37" s="656">
        <v>48000</v>
      </c>
      <c r="D37" s="657">
        <f>SUMIFS(MapFy2024_25!D:D,MapFy2024_25!B:B,'DB OSS'!B37)</f>
        <v>49500</v>
      </c>
      <c r="E37" s="658">
        <v>35000</v>
      </c>
      <c r="F37" s="659">
        <f>SUMIFS(MapFy2025_26!E:E,MapFy2025_26!B:B,'DB OSS'!B37)</f>
        <v>24000</v>
      </c>
      <c r="G37" s="659">
        <f>SUMIFS(MapFy2025_26!D:D,MapFy2025_26!B:B,'DB OSS'!B37)</f>
        <v>16500</v>
      </c>
      <c r="H37" s="661">
        <f t="shared" si="17"/>
        <v>0.47142857142857142</v>
      </c>
      <c r="I37" s="662"/>
      <c r="J37" s="665"/>
      <c r="K37" s="665"/>
      <c r="O37" s="704">
        <v>35000</v>
      </c>
      <c r="P37" s="719">
        <f t="shared" si="7"/>
        <v>0</v>
      </c>
      <c r="Q37" s="720">
        <f t="shared" si="8"/>
        <v>0</v>
      </c>
      <c r="R37" s="589"/>
      <c r="S37" s="702">
        <v>35000</v>
      </c>
      <c r="T37" s="702">
        <v>35000</v>
      </c>
      <c r="U37" s="590"/>
    </row>
    <row r="38" spans="1:21" ht="15.6" x14ac:dyDescent="0.3">
      <c r="A38" s="655">
        <f>A37+1</f>
        <v>25</v>
      </c>
      <c r="B38" s="739" t="s">
        <v>132</v>
      </c>
      <c r="C38" s="740">
        <f t="shared" ref="C38:G38" si="19">SUM(C32:C37)</f>
        <v>181000</v>
      </c>
      <c r="D38" s="748">
        <f>SUM(D32:D37)</f>
        <v>178425.16999999998</v>
      </c>
      <c r="E38" s="667">
        <f t="shared" si="19"/>
        <v>159000</v>
      </c>
      <c r="F38" s="749">
        <f t="shared" si="19"/>
        <v>68857.98</v>
      </c>
      <c r="G38" s="749">
        <f t="shared" si="19"/>
        <v>86738.85</v>
      </c>
      <c r="H38" s="661">
        <f t="shared" si="17"/>
        <v>0.54552735849056611</v>
      </c>
      <c r="I38" s="662"/>
      <c r="O38" s="669">
        <f t="shared" ref="O38" si="20">SUM(O32:O37)</f>
        <v>145000</v>
      </c>
      <c r="P38" s="750">
        <f t="shared" si="7"/>
        <v>-14000</v>
      </c>
      <c r="Q38" s="720">
        <f t="shared" si="8"/>
        <v>-9.6551724137931033E-2</v>
      </c>
      <c r="R38" s="589"/>
      <c r="S38" s="672">
        <f t="shared" ref="S38:T38" si="21">SUM(S32:S37)</f>
        <v>136000</v>
      </c>
      <c r="T38" s="672">
        <f t="shared" si="21"/>
        <v>136000</v>
      </c>
      <c r="U38" s="590"/>
    </row>
    <row r="39" spans="1:21" ht="15.6" x14ac:dyDescent="0.3">
      <c r="A39" s="655"/>
      <c r="B39" s="695" t="s">
        <v>133</v>
      </c>
      <c r="C39" s="696"/>
      <c r="D39" s="697"/>
      <c r="E39" s="696"/>
      <c r="F39" s="698"/>
      <c r="G39" s="698"/>
      <c r="H39" s="700"/>
      <c r="I39" s="662"/>
      <c r="O39" s="697"/>
      <c r="P39" s="701"/>
      <c r="Q39" s="696"/>
      <c r="R39" s="589"/>
      <c r="S39" s="696"/>
      <c r="T39" s="696"/>
      <c r="U39" s="590"/>
    </row>
    <row r="40" spans="1:21" ht="15.6" x14ac:dyDescent="0.3">
      <c r="A40" s="655">
        <f>A38+1</f>
        <v>26</v>
      </c>
      <c r="B40" s="13" t="s">
        <v>134</v>
      </c>
      <c r="C40" s="656">
        <v>3000</v>
      </c>
      <c r="D40" s="657">
        <f>SUMIFS(MapFy2024_25!D:D,MapFy2024_25!B:B,'DB OSS'!B40)</f>
        <v>873.43</v>
      </c>
      <c r="E40" s="656">
        <v>3000</v>
      </c>
      <c r="F40" s="659">
        <f>SUMIFS(MapFy2025_26!E:E,MapFy2025_26!B:B,'DB OSS'!B40)</f>
        <v>567.63</v>
      </c>
      <c r="G40" s="659">
        <f>SUMIFS(MapFy2025_26!D:D,MapFy2025_26!B:B,'DB OSS'!B40)</f>
        <v>477.24</v>
      </c>
      <c r="H40" s="661">
        <f>IF(E40=0,"",G40/E40)</f>
        <v>0.15908</v>
      </c>
      <c r="I40" s="662"/>
      <c r="K40" s="136" t="s">
        <v>288</v>
      </c>
      <c r="O40" s="657">
        <v>1000</v>
      </c>
      <c r="P40" s="747">
        <f t="shared" si="7"/>
        <v>-2000</v>
      </c>
      <c r="Q40" s="720">
        <f t="shared" si="8"/>
        <v>-2</v>
      </c>
      <c r="R40" s="589" t="s">
        <v>978</v>
      </c>
      <c r="S40" s="656">
        <v>5000</v>
      </c>
      <c r="T40" s="656">
        <v>1000</v>
      </c>
      <c r="U40" s="590"/>
    </row>
    <row r="41" spans="1:21" s="755" customFormat="1" ht="15.6" x14ac:dyDescent="0.3">
      <c r="A41" s="655">
        <f t="shared" ref="A41:A42" si="22">A40+1</f>
        <v>27</v>
      </c>
      <c r="B41" s="13" t="s">
        <v>135</v>
      </c>
      <c r="C41" s="751">
        <v>0</v>
      </c>
      <c r="D41" s="752"/>
      <c r="E41" s="751"/>
      <c r="F41" s="659">
        <f>SUMIFS(MapFy2025_26!E:E,MapFy2025_26!B:B,'DB OSS'!B41)</f>
        <v>0</v>
      </c>
      <c r="G41" s="659">
        <f>SUMIFS(MapFy2025_26!D:D,MapFy2025_26!B:B,'DB OSS'!B41)</f>
        <v>750</v>
      </c>
      <c r="H41" s="753"/>
      <c r="I41" s="754"/>
      <c r="K41" s="755" t="s">
        <v>504</v>
      </c>
      <c r="O41" s="752"/>
      <c r="P41" s="756"/>
      <c r="Q41" s="751"/>
      <c r="R41" s="757"/>
      <c r="S41" s="751"/>
      <c r="T41" s="751"/>
      <c r="U41" s="758"/>
    </row>
    <row r="42" spans="1:21" ht="15.6" x14ac:dyDescent="0.3">
      <c r="A42" s="655">
        <f t="shared" si="22"/>
        <v>28</v>
      </c>
      <c r="B42" s="13" t="s">
        <v>136</v>
      </c>
      <c r="C42" s="656">
        <v>85000</v>
      </c>
      <c r="D42" s="657">
        <f>SUMIFS(MapFy2024_25!D:D,MapFy2024_25!B:B,'DB OSS'!B42)</f>
        <v>83155.47</v>
      </c>
      <c r="E42" s="656">
        <v>80000</v>
      </c>
      <c r="F42" s="659">
        <f>SUMIFS(MapFy2025_26!E:E,MapFy2025_26!B:B,'DB OSS'!B42)</f>
        <v>49008.98</v>
      </c>
      <c r="G42" s="659">
        <f>SUMIFS(MapFy2025_26!D:D,MapFy2025_26!B:B,'DB OSS'!B42)</f>
        <v>26766.58</v>
      </c>
      <c r="H42" s="661">
        <f t="shared" ref="H42:H44" si="23">IF(E42=0,"",G42/E42)</f>
        <v>0.33458225000000003</v>
      </c>
      <c r="I42" s="664"/>
      <c r="K42" s="136" t="s">
        <v>505</v>
      </c>
      <c r="O42" s="704">
        <v>75000</v>
      </c>
      <c r="P42" s="747">
        <f t="shared" si="7"/>
        <v>-5000</v>
      </c>
      <c r="Q42" s="720">
        <f t="shared" si="8"/>
        <v>-6.6666666666666666E-2</v>
      </c>
      <c r="R42" s="589" t="s">
        <v>979</v>
      </c>
      <c r="S42" s="702">
        <v>80000</v>
      </c>
      <c r="T42" s="702">
        <v>75000</v>
      </c>
      <c r="U42" s="590"/>
    </row>
    <row r="43" spans="1:21" ht="15.6" x14ac:dyDescent="0.3">
      <c r="A43" s="655">
        <v>29</v>
      </c>
      <c r="B43" s="13" t="s">
        <v>508</v>
      </c>
      <c r="C43" s="656">
        <v>30000</v>
      </c>
      <c r="D43" s="657">
        <f>SUMIFS(MapFy2024_25!D:D,MapFy2024_25!B:B,'DB OSS'!B43)</f>
        <v>27742.55</v>
      </c>
      <c r="E43" s="656">
        <v>20000</v>
      </c>
      <c r="F43" s="659">
        <f>SUMIFS(MapFy2025_26!E:E,MapFy2025_26!B:B,'DB OSS'!B43)</f>
        <v>20729</v>
      </c>
      <c r="G43" s="659">
        <f>SUMIFS(MapFy2025_26!D:D,MapFy2025_26!B:B,'DB OSS'!B43)</f>
        <v>19391.900000000001</v>
      </c>
      <c r="H43" s="661">
        <f t="shared" si="23"/>
        <v>0.9695950000000001</v>
      </c>
      <c r="I43" s="662"/>
      <c r="O43" s="704">
        <v>22000</v>
      </c>
      <c r="P43" s="719">
        <f t="shared" si="7"/>
        <v>2000</v>
      </c>
      <c r="Q43" s="720">
        <f t="shared" si="8"/>
        <v>9.0909090909090912E-2</v>
      </c>
      <c r="R43" s="589" t="s">
        <v>964</v>
      </c>
      <c r="S43" s="702">
        <v>30000</v>
      </c>
      <c r="T43" s="702">
        <v>25000</v>
      </c>
      <c r="U43" s="590"/>
    </row>
    <row r="44" spans="1:21" ht="15.6" x14ac:dyDescent="0.3">
      <c r="A44" s="655">
        <f>A43+1</f>
        <v>30</v>
      </c>
      <c r="B44" s="739" t="s">
        <v>138</v>
      </c>
      <c r="C44" s="740">
        <f t="shared" ref="C44:G44" si="24">SUM(C40:C43)</f>
        <v>118000</v>
      </c>
      <c r="D44" s="748">
        <f>SUM(D40:D43)</f>
        <v>111771.45</v>
      </c>
      <c r="E44" s="740">
        <f t="shared" si="24"/>
        <v>103000</v>
      </c>
      <c r="F44" s="749">
        <f t="shared" si="24"/>
        <v>70305.61</v>
      </c>
      <c r="G44" s="749">
        <f t="shared" si="24"/>
        <v>47385.72</v>
      </c>
      <c r="H44" s="661">
        <f t="shared" si="23"/>
        <v>0.46005553398058252</v>
      </c>
      <c r="I44" s="662"/>
      <c r="O44" s="669">
        <f t="shared" ref="O44" si="25">SUM(O40:O43)</f>
        <v>98000</v>
      </c>
      <c r="P44" s="750">
        <f t="shared" si="7"/>
        <v>-5000</v>
      </c>
      <c r="Q44" s="720">
        <f t="shared" si="8"/>
        <v>-5.1020408163265307E-2</v>
      </c>
      <c r="R44" s="589"/>
      <c r="S44" s="672">
        <f t="shared" ref="S44:T44" si="26">SUM(S40:S43)</f>
        <v>115000</v>
      </c>
      <c r="T44" s="672">
        <f t="shared" si="26"/>
        <v>101000</v>
      </c>
      <c r="U44" s="590"/>
    </row>
    <row r="45" spans="1:21" ht="15.6" x14ac:dyDescent="0.3">
      <c r="A45" s="655"/>
      <c r="B45" s="759" t="s">
        <v>139</v>
      </c>
      <c r="C45" s="696"/>
      <c r="D45" s="697"/>
      <c r="E45" s="696"/>
      <c r="F45" s="698"/>
      <c r="G45" s="699"/>
      <c r="H45" s="700"/>
      <c r="I45" s="662"/>
      <c r="O45" s="697"/>
      <c r="P45" s="701"/>
      <c r="Q45" s="696"/>
      <c r="R45" s="589"/>
      <c r="S45" s="696"/>
      <c r="T45" s="696"/>
      <c r="U45" s="590"/>
    </row>
    <row r="46" spans="1:21" ht="42" x14ac:dyDescent="0.3">
      <c r="A46" s="655">
        <f>A44+1</f>
        <v>31</v>
      </c>
      <c r="B46" s="101" t="s">
        <v>581</v>
      </c>
      <c r="C46" s="656">
        <v>260000</v>
      </c>
      <c r="D46" s="657">
        <f>SUMIFS(MapFy2024_25!D:D,MapFy2024_25!B:B,'DB OSS'!B46)</f>
        <v>290386.26</v>
      </c>
      <c r="E46" s="656">
        <v>180000</v>
      </c>
      <c r="F46" s="659">
        <f>SUMIFS(MapFy2025_26!E:E,MapFy2025_26!B:B,'DB OSS'!B46)</f>
        <v>179607.28</v>
      </c>
      <c r="G46" s="743">
        <f>SUMIFS(MapFy2025_26!D:D,MapFy2025_26!B:B,'DB OSS'!B46)</f>
        <v>158707.01</v>
      </c>
      <c r="H46" s="744">
        <f t="shared" ref="H46:H49" si="27">IF(E46=0,"",G46/E46)</f>
        <v>0.88170561111111112</v>
      </c>
      <c r="I46" s="760"/>
      <c r="J46" s="761" t="s">
        <v>581</v>
      </c>
      <c r="K46" s="761" t="s">
        <v>506</v>
      </c>
      <c r="L46" s="761"/>
      <c r="M46" s="761"/>
      <c r="N46" s="761"/>
      <c r="O46" s="704">
        <v>195000</v>
      </c>
      <c r="P46" s="719">
        <f t="shared" si="7"/>
        <v>15000</v>
      </c>
      <c r="Q46" s="720">
        <f t="shared" si="8"/>
        <v>7.6923076923076927E-2</v>
      </c>
      <c r="R46" s="59" t="s">
        <v>980</v>
      </c>
      <c r="S46" s="702">
        <v>190000</v>
      </c>
      <c r="T46" s="702">
        <v>150000</v>
      </c>
      <c r="U46" s="762" t="s">
        <v>1008</v>
      </c>
    </row>
    <row r="47" spans="1:21" ht="15.6" x14ac:dyDescent="0.3">
      <c r="A47" s="655">
        <f t="shared" ref="A47:A48" si="28">A46+1</f>
        <v>32</v>
      </c>
      <c r="B47" s="13" t="s">
        <v>221</v>
      </c>
      <c r="C47" s="656">
        <v>10000</v>
      </c>
      <c r="D47" s="657">
        <f>SUMIFS(MapFy2024_25!D:D,MapFy2024_25!B:B,'DB OSS'!B47)</f>
        <v>0</v>
      </c>
      <c r="E47" s="656">
        <v>10000</v>
      </c>
      <c r="F47" s="659">
        <f>SUMIFS(MapFy2025_26!E:E,MapFy2025_26!B:B,'DB OSS'!B47)</f>
        <v>0</v>
      </c>
      <c r="G47" s="743">
        <f>SUMIFS(MapFy2025_26!D:D,MapFy2025_26!B:B,'DB OSS'!B47)</f>
        <v>0</v>
      </c>
      <c r="H47" s="744">
        <f t="shared" si="27"/>
        <v>0</v>
      </c>
      <c r="I47" s="760"/>
      <c r="J47" s="761"/>
      <c r="K47" s="761" t="s">
        <v>507</v>
      </c>
      <c r="L47" s="761"/>
      <c r="M47" s="761"/>
      <c r="N47" s="761"/>
      <c r="O47" s="704">
        <v>0</v>
      </c>
      <c r="P47" s="763">
        <f t="shared" si="7"/>
        <v>-10000</v>
      </c>
      <c r="Q47" s="720"/>
      <c r="R47" s="589" t="s">
        <v>961</v>
      </c>
      <c r="S47" s="702">
        <v>0</v>
      </c>
      <c r="T47" s="702"/>
      <c r="U47" s="590"/>
    </row>
    <row r="48" spans="1:21" ht="16.2" thickBot="1" x14ac:dyDescent="0.35">
      <c r="A48" s="655">
        <f t="shared" si="28"/>
        <v>33</v>
      </c>
      <c r="B48" s="112" t="s">
        <v>141</v>
      </c>
      <c r="C48" s="708">
        <v>200000</v>
      </c>
      <c r="D48" s="706">
        <f>SUMIFS(MapFy2024_25!D:D,MapFy2024_25!B:B,'DB OSS'!B48)</f>
        <v>249292.37</v>
      </c>
      <c r="E48" s="708">
        <v>200000</v>
      </c>
      <c r="F48" s="709">
        <f>SUMIFS(MapFy2025_26!E:E,MapFy2025_26!B:B,'DB OSS'!B48)</f>
        <v>17650</v>
      </c>
      <c r="G48" s="764">
        <f>SUMIFS(MapFy2025_26!D:D,MapFy2025_26!B:B,'DB OSS'!B48)</f>
        <v>19572.259999999998</v>
      </c>
      <c r="H48" s="765">
        <f t="shared" si="27"/>
        <v>9.7861299999999998E-2</v>
      </c>
      <c r="I48" s="766"/>
      <c r="J48" s="767"/>
      <c r="K48" s="767"/>
      <c r="L48" s="767"/>
      <c r="M48" s="767"/>
      <c r="N48" s="767"/>
      <c r="O48" s="712">
        <v>130000</v>
      </c>
      <c r="P48" s="768">
        <f t="shared" si="7"/>
        <v>-70000</v>
      </c>
      <c r="Q48" s="328">
        <f t="shared" si="8"/>
        <v>-0.53846153846153844</v>
      </c>
      <c r="R48" s="589" t="s">
        <v>962</v>
      </c>
      <c r="S48" s="714">
        <v>145000</v>
      </c>
      <c r="T48" s="714">
        <v>150000</v>
      </c>
      <c r="U48" s="762"/>
    </row>
    <row r="49" spans="1:21" ht="15.6" x14ac:dyDescent="0.3">
      <c r="A49" s="655">
        <f>A48+1</f>
        <v>34</v>
      </c>
      <c r="B49" s="769" t="s">
        <v>138</v>
      </c>
      <c r="C49" s="729">
        <f>SUM(C46:C48)</f>
        <v>470000</v>
      </c>
      <c r="D49" s="770">
        <f>SUM(D46:D48)</f>
        <v>539678.63</v>
      </c>
      <c r="E49" s="729">
        <f>SUM(E46:E48)</f>
        <v>390000</v>
      </c>
      <c r="F49" s="741">
        <f>SUM(F46:F48)</f>
        <v>197257.28</v>
      </c>
      <c r="G49" s="718">
        <f>SUM(G46:G48)</f>
        <v>178279.27000000002</v>
      </c>
      <c r="H49" s="771">
        <f t="shared" si="27"/>
        <v>0.45712633333333336</v>
      </c>
      <c r="I49" s="772"/>
      <c r="J49" s="761"/>
      <c r="K49" s="761"/>
      <c r="L49" s="761"/>
      <c r="M49" s="761"/>
      <c r="N49" s="761"/>
      <c r="O49" s="715">
        <f>SUM(O46:O48)</f>
        <v>325000</v>
      </c>
      <c r="P49" s="750">
        <f t="shared" si="7"/>
        <v>-65000</v>
      </c>
      <c r="Q49" s="720">
        <f t="shared" si="8"/>
        <v>-0.2</v>
      </c>
      <c r="R49" s="589"/>
      <c r="S49" s="717">
        <f>SUM(S46:S48)</f>
        <v>335000</v>
      </c>
      <c r="T49" s="717">
        <f>SUM(T46:T48)</f>
        <v>300000</v>
      </c>
      <c r="U49" s="590"/>
    </row>
    <row r="50" spans="1:21" ht="15.6" x14ac:dyDescent="0.3">
      <c r="A50" s="655"/>
      <c r="B50" s="695" t="s">
        <v>142</v>
      </c>
      <c r="C50" s="696"/>
      <c r="D50" s="697"/>
      <c r="E50" s="696"/>
      <c r="F50" s="698"/>
      <c r="G50" s="699"/>
      <c r="H50" s="700"/>
      <c r="I50" s="662"/>
      <c r="O50" s="697"/>
      <c r="P50" s="701"/>
      <c r="Q50" s="773"/>
      <c r="R50" s="589"/>
      <c r="S50" s="696"/>
      <c r="T50" s="696"/>
      <c r="U50" s="590"/>
    </row>
    <row r="51" spans="1:21" ht="15.6" x14ac:dyDescent="0.3">
      <c r="A51" s="655">
        <f>A49+1</f>
        <v>35</v>
      </c>
      <c r="B51" s="13" t="s">
        <v>143</v>
      </c>
      <c r="C51" s="656">
        <v>0</v>
      </c>
      <c r="D51" s="657">
        <f>SUMIFS(MapFy2024_25!D:D,MapFy2024_25!B:B,'DB OSS'!B51)</f>
        <v>1500</v>
      </c>
      <c r="E51" s="656">
        <v>0</v>
      </c>
      <c r="F51" s="659">
        <f>SUMIFS(MapFy2025_26!E:E,MapFy2025_26!B:B,'DB OSS'!B51)</f>
        <v>1500</v>
      </c>
      <c r="G51" s="659">
        <f>SUMIFS(MapFy2025_26!D:D,MapFy2025_26!B:B,'DB OSS'!B51)</f>
        <v>0</v>
      </c>
      <c r="H51" s="661"/>
      <c r="I51" s="662"/>
      <c r="K51" s="136" t="s">
        <v>287</v>
      </c>
      <c r="O51" s="657">
        <v>0</v>
      </c>
      <c r="P51" s="663">
        <v>0</v>
      </c>
      <c r="Q51" s="536">
        <v>0</v>
      </c>
      <c r="R51" s="589"/>
      <c r="S51" s="656">
        <v>0</v>
      </c>
      <c r="T51" s="656">
        <v>0</v>
      </c>
      <c r="U51" s="590"/>
    </row>
    <row r="52" spans="1:21" ht="15.6" x14ac:dyDescent="0.3">
      <c r="A52" s="655">
        <f>A51+1</f>
        <v>36</v>
      </c>
      <c r="B52" s="739" t="s">
        <v>138</v>
      </c>
      <c r="C52" s="740">
        <f>SUM(C51:C51)</f>
        <v>0</v>
      </c>
      <c r="D52" s="748">
        <f>SUM(D51:D51)</f>
        <v>1500</v>
      </c>
      <c r="E52" s="740">
        <f t="shared" ref="E52:G52" si="29">SUM(E51:E51)</f>
        <v>0</v>
      </c>
      <c r="F52" s="749">
        <f t="shared" si="29"/>
        <v>1500</v>
      </c>
      <c r="G52" s="749">
        <f t="shared" si="29"/>
        <v>0</v>
      </c>
      <c r="H52" s="661"/>
      <c r="I52" s="662"/>
      <c r="O52" s="748">
        <f t="shared" ref="O52" si="30">SUM(O51:O51)</f>
        <v>0</v>
      </c>
      <c r="P52" s="774">
        <v>0</v>
      </c>
      <c r="Q52" s="775">
        <v>0</v>
      </c>
      <c r="R52" s="589"/>
      <c r="S52" s="740">
        <f t="shared" ref="S52" si="31">SUM(S51:S51)</f>
        <v>0</v>
      </c>
      <c r="T52" s="740">
        <v>0</v>
      </c>
      <c r="U52" s="590"/>
    </row>
    <row r="53" spans="1:21" ht="15.6" x14ac:dyDescent="0.3">
      <c r="A53" s="655"/>
      <c r="B53" s="695" t="s">
        <v>144</v>
      </c>
      <c r="C53" s="696"/>
      <c r="D53" s="697"/>
      <c r="E53" s="696"/>
      <c r="F53" s="698"/>
      <c r="G53" s="699"/>
      <c r="H53" s="700"/>
      <c r="I53" s="662"/>
      <c r="O53" s="697"/>
      <c r="P53" s="701"/>
      <c r="Q53" s="773"/>
      <c r="R53" s="589"/>
      <c r="S53" s="696"/>
      <c r="T53" s="696"/>
      <c r="U53" s="590"/>
    </row>
    <row r="54" spans="1:21" ht="15.6" x14ac:dyDescent="0.3">
      <c r="A54" s="655">
        <f>A52+1</f>
        <v>37</v>
      </c>
      <c r="B54" s="13" t="s">
        <v>220</v>
      </c>
      <c r="C54" s="656">
        <v>8000</v>
      </c>
      <c r="D54" s="657">
        <f>SUMIFS(MapFy2024_25!D:D,MapFy2024_25!B:B,'DB OSS'!B54)</f>
        <v>3605</v>
      </c>
      <c r="E54" s="656">
        <v>3000</v>
      </c>
      <c r="F54" s="659">
        <f>SUMIFS(MapFy2025_26!E:E,MapFy2025_26!B:B,'DB OSS'!B54)</f>
        <v>3605</v>
      </c>
      <c r="G54" s="659">
        <f>SUMIFS(MapFy2025_26!D:D,MapFy2025_26!B:B,'DB OSS'!B54)</f>
        <v>500</v>
      </c>
      <c r="H54" s="661">
        <f>IF(E54=0,"",G54/E54)</f>
        <v>0.16666666666666666</v>
      </c>
      <c r="I54" s="662"/>
      <c r="O54" s="704">
        <v>500</v>
      </c>
      <c r="P54" s="776">
        <f>O54-E54</f>
        <v>-2500</v>
      </c>
      <c r="Q54" s="540">
        <f>(O54-E54)/O54</f>
        <v>-5</v>
      </c>
      <c r="R54" s="589" t="s">
        <v>963</v>
      </c>
      <c r="S54" s="702">
        <v>500</v>
      </c>
      <c r="T54" s="702">
        <v>500</v>
      </c>
      <c r="U54" s="590"/>
    </row>
    <row r="55" spans="1:21" ht="15.6" x14ac:dyDescent="0.3">
      <c r="A55" s="655"/>
      <c r="B55" s="777"/>
      <c r="C55" s="656"/>
      <c r="D55" s="657"/>
      <c r="E55" s="656"/>
      <c r="F55" s="659"/>
      <c r="G55" s="659"/>
      <c r="H55" s="661"/>
      <c r="I55" s="662"/>
      <c r="J55" s="665"/>
      <c r="K55" s="665"/>
      <c r="O55" s="704"/>
      <c r="P55" s="705">
        <f t="shared" ref="P55:P56" si="32">O55-E55</f>
        <v>0</v>
      </c>
      <c r="Q55" s="702"/>
      <c r="R55" s="589"/>
      <c r="S55" s="702"/>
      <c r="T55" s="702"/>
      <c r="U55" s="590"/>
    </row>
    <row r="56" spans="1:21" ht="15.6" x14ac:dyDescent="0.3">
      <c r="A56" s="655">
        <f>A54+1</f>
        <v>38</v>
      </c>
      <c r="B56" s="739" t="s">
        <v>145</v>
      </c>
      <c r="C56" s="740">
        <f>SUM(C54:C55)</f>
        <v>8000</v>
      </c>
      <c r="D56" s="748">
        <f>SUM(D54:D55)</f>
        <v>3605</v>
      </c>
      <c r="E56" s="740">
        <f t="shared" ref="E56:G56" si="33">SUM(E54:E55)</f>
        <v>3000</v>
      </c>
      <c r="F56" s="749">
        <f t="shared" si="33"/>
        <v>3605</v>
      </c>
      <c r="G56" s="749">
        <f t="shared" si="33"/>
        <v>500</v>
      </c>
      <c r="H56" s="661">
        <f>IF(E56=0,"",G56/E56)</f>
        <v>0.16666666666666666</v>
      </c>
      <c r="I56" s="662"/>
      <c r="O56" s="669">
        <f t="shared" ref="O56" si="34">SUM(O54:O55)</f>
        <v>500</v>
      </c>
      <c r="P56" s="776">
        <f t="shared" si="32"/>
        <v>-2500</v>
      </c>
      <c r="Q56" s="540">
        <f t="shared" ref="Q56:Q63" si="35">(O56-E56)/O56</f>
        <v>-5</v>
      </c>
      <c r="R56" s="589"/>
      <c r="S56" s="672">
        <f t="shared" ref="S56:T56" si="36">SUM(S54:S55)</f>
        <v>500</v>
      </c>
      <c r="T56" s="672">
        <f t="shared" si="36"/>
        <v>500</v>
      </c>
      <c r="U56" s="590"/>
    </row>
    <row r="57" spans="1:21" ht="15.6" x14ac:dyDescent="0.3">
      <c r="A57" s="655"/>
      <c r="B57" s="778" t="s">
        <v>146</v>
      </c>
      <c r="C57" s="696"/>
      <c r="D57" s="697"/>
      <c r="E57" s="696"/>
      <c r="F57" s="698"/>
      <c r="G57" s="699"/>
      <c r="H57" s="700"/>
      <c r="I57" s="662"/>
      <c r="O57" s="697"/>
      <c r="P57" s="701"/>
      <c r="Q57" s="696"/>
      <c r="R57" s="589"/>
      <c r="S57" s="696"/>
      <c r="T57" s="696"/>
      <c r="U57" s="590"/>
    </row>
    <row r="58" spans="1:21" ht="15.6" x14ac:dyDescent="0.3">
      <c r="A58" s="645">
        <f>A56+1</f>
        <v>39</v>
      </c>
      <c r="B58" s="14" t="s">
        <v>147</v>
      </c>
      <c r="C58" s="656">
        <v>20000</v>
      </c>
      <c r="D58" s="657">
        <f>SUMIFS(MapFy2024_25!D:D,MapFy2024_25!B:B,'DB OSS'!B58)</f>
        <v>14969.42</v>
      </c>
      <c r="E58" s="656">
        <v>10000</v>
      </c>
      <c r="F58" s="656">
        <f>SUMIFS(MapFy2025_26!E:E,MapFy2025_26!B:B,'DB OSS'!B58)</f>
        <v>4700</v>
      </c>
      <c r="G58" s="659">
        <f>SUMIFS(MapFy2025_26!D:D,MapFy2025_26!B:B,'DB OSS'!B58)</f>
        <v>10208.67</v>
      </c>
      <c r="H58" s="661">
        <f t="shared" ref="H58:H60" si="37">IF(E58=0,"",G58/E58)</f>
        <v>1.020867</v>
      </c>
      <c r="I58" s="662"/>
      <c r="O58" s="704">
        <v>15000</v>
      </c>
      <c r="P58" s="705">
        <f>O58-E58</f>
        <v>5000</v>
      </c>
      <c r="Q58" s="540">
        <f t="shared" si="35"/>
        <v>0.33333333333333331</v>
      </c>
      <c r="R58" s="589" t="s">
        <v>981</v>
      </c>
      <c r="S58" s="702">
        <v>13000</v>
      </c>
      <c r="T58" s="702">
        <v>15000</v>
      </c>
      <c r="U58" s="590"/>
    </row>
    <row r="59" spans="1:21" ht="15.6" x14ac:dyDescent="0.3">
      <c r="A59" s="655">
        <f t="shared" ref="A59" si="38">A58+1</f>
        <v>40</v>
      </c>
      <c r="B59" s="13" t="s">
        <v>215</v>
      </c>
      <c r="C59" s="656">
        <v>6000</v>
      </c>
      <c r="D59" s="657">
        <f>SUMIFS(MapFy2024_25!D:D,MapFy2024_25!B:B,'DB OSS'!B59)</f>
        <v>7842.2</v>
      </c>
      <c r="E59" s="656">
        <v>5000</v>
      </c>
      <c r="F59" s="656">
        <f>SUMIFS(MapFy2025_26!E:E,MapFy2025_26!B:B,'DB OSS'!B59)</f>
        <v>3672.2</v>
      </c>
      <c r="G59" s="659">
        <f>SUMIFS(MapFy2025_26!D:D,MapFy2025_26!B:B,'DB OSS'!B59)</f>
        <v>4270</v>
      </c>
      <c r="H59" s="661">
        <f t="shared" si="37"/>
        <v>0.85399999999999998</v>
      </c>
      <c r="I59" s="662"/>
      <c r="K59" s="136" t="s">
        <v>291</v>
      </c>
      <c r="O59" s="657">
        <v>5000</v>
      </c>
      <c r="P59" s="705">
        <f>O59-E59</f>
        <v>0</v>
      </c>
      <c r="Q59" s="540">
        <f t="shared" si="35"/>
        <v>0</v>
      </c>
      <c r="R59" s="589"/>
      <c r="S59" s="656">
        <v>5000</v>
      </c>
      <c r="T59" s="656">
        <v>5000</v>
      </c>
      <c r="U59" s="590"/>
    </row>
    <row r="60" spans="1:21" ht="15.6" x14ac:dyDescent="0.3">
      <c r="A60" s="655">
        <f>A59+1</f>
        <v>41</v>
      </c>
      <c r="B60" s="231" t="s">
        <v>148</v>
      </c>
      <c r="C60" s="740">
        <f>SUM(C58:C59)</f>
        <v>26000</v>
      </c>
      <c r="D60" s="748">
        <f>SUM(D58:D59)</f>
        <v>22811.62</v>
      </c>
      <c r="E60" s="740">
        <f t="shared" ref="E60:G60" si="39">SUM(E58:E59)</f>
        <v>15000</v>
      </c>
      <c r="F60" s="740">
        <f t="shared" si="39"/>
        <v>8372.2000000000007</v>
      </c>
      <c r="G60" s="749">
        <f t="shared" si="39"/>
        <v>14478.67</v>
      </c>
      <c r="H60" s="661">
        <f t="shared" si="37"/>
        <v>0.96524466666666664</v>
      </c>
      <c r="I60" s="687"/>
      <c r="O60" s="748">
        <f t="shared" ref="O60" si="40">SUM(O58:O59)</f>
        <v>20000</v>
      </c>
      <c r="P60" s="705">
        <f>O60-E60</f>
        <v>5000</v>
      </c>
      <c r="Q60" s="540">
        <f t="shared" si="35"/>
        <v>0.25</v>
      </c>
      <c r="R60" s="589"/>
      <c r="S60" s="740">
        <f t="shared" ref="S60:T60" si="41">SUM(S58:S59)</f>
        <v>18000</v>
      </c>
      <c r="T60" s="740">
        <f t="shared" si="41"/>
        <v>20000</v>
      </c>
      <c r="U60" s="590"/>
    </row>
    <row r="61" spans="1:21" ht="15.6" x14ac:dyDescent="0.3">
      <c r="A61" s="685"/>
      <c r="B61" s="779"/>
      <c r="C61" s="663"/>
      <c r="D61" s="663"/>
      <c r="E61" s="663"/>
      <c r="F61" s="663"/>
      <c r="G61" s="659"/>
      <c r="H61" s="661"/>
      <c r="I61" s="662"/>
      <c r="O61" s="687"/>
      <c r="P61" s="705"/>
      <c r="Q61" s="702"/>
      <c r="R61" s="589"/>
      <c r="S61" s="663"/>
      <c r="T61" s="663"/>
      <c r="U61" s="590"/>
    </row>
    <row r="62" spans="1:21" ht="15.6" x14ac:dyDescent="0.3">
      <c r="A62" s="780">
        <f>A60+1</f>
        <v>42</v>
      </c>
      <c r="B62" s="781" t="s">
        <v>149</v>
      </c>
      <c r="C62" s="782">
        <f>C60+C56+C52+C49+C44+C38+C29+C22</f>
        <v>1239000</v>
      </c>
      <c r="D62" s="783">
        <f>D22+D29+D38+D44+D49+D52+D56+D60</f>
        <v>1332196.3500000001</v>
      </c>
      <c r="E62" s="784">
        <f>E22+E29+E38+E44+E49+E52+E56+E60</f>
        <v>1094500</v>
      </c>
      <c r="F62" s="784">
        <f>F22+F29+F38+F44+F49+F52+F56+F60</f>
        <v>558132.65999999992</v>
      </c>
      <c r="G62" s="785">
        <f>G22+G29+G38+G44+G49+G52+G56+G60</f>
        <v>547179.94000000006</v>
      </c>
      <c r="H62" s="786">
        <f>G62/E62</f>
        <v>0.4999359890360896</v>
      </c>
      <c r="I62" s="787"/>
      <c r="O62" s="783">
        <f>O22+O29+O38+O44+O49+O52+O56+O60</f>
        <v>983000</v>
      </c>
      <c r="P62" s="788">
        <f t="shared" ref="P62:P63" si="42">O62-E62</f>
        <v>-111500</v>
      </c>
      <c r="Q62" s="684">
        <f t="shared" si="35"/>
        <v>-0.11342828077314344</v>
      </c>
      <c r="R62" s="589"/>
      <c r="S62" s="782">
        <f>S22+S29+S38+S44+S49+S52+S56+S60</f>
        <v>1045000</v>
      </c>
      <c r="T62" s="782">
        <f>T22+T29+T38+T44+T49+T52+T56+T60</f>
        <v>1023000</v>
      </c>
      <c r="U62" s="657">
        <f>S62-O62</f>
        <v>62000</v>
      </c>
    </row>
    <row r="63" spans="1:21" ht="18.600000000000001" thickBot="1" x14ac:dyDescent="0.4">
      <c r="A63" s="789">
        <f>A62+1</f>
        <v>43</v>
      </c>
      <c r="B63" s="790" t="s">
        <v>63</v>
      </c>
      <c r="C63" s="791">
        <f>C13-C62</f>
        <v>-149000</v>
      </c>
      <c r="D63" s="792">
        <f>D13-D62</f>
        <v>-89453.010000000009</v>
      </c>
      <c r="E63" s="793">
        <f>E13-E62</f>
        <v>-99500</v>
      </c>
      <c r="F63" s="793">
        <f>F13-F62</f>
        <v>32663.989999999991</v>
      </c>
      <c r="G63" s="794">
        <f>G13-G62</f>
        <v>-37618.420000000042</v>
      </c>
      <c r="H63" s="795"/>
      <c r="I63" s="796"/>
      <c r="J63" s="374"/>
      <c r="K63" s="374"/>
      <c r="L63" s="374"/>
      <c r="M63" s="374"/>
      <c r="N63" s="374"/>
      <c r="O63" s="792">
        <f>O13-O62</f>
        <v>-5000</v>
      </c>
      <c r="P63" s="797">
        <f t="shared" si="42"/>
        <v>94500</v>
      </c>
      <c r="Q63" s="798">
        <f t="shared" si="35"/>
        <v>-18.899999999999999</v>
      </c>
      <c r="R63" s="709"/>
      <c r="S63" s="791">
        <f>S13-S62</f>
        <v>5000</v>
      </c>
      <c r="T63" s="791">
        <f>T13-T62</f>
        <v>27000</v>
      </c>
      <c r="U63" s="799"/>
    </row>
    <row r="65" spans="2:20" ht="31.2" hidden="1" x14ac:dyDescent="0.3">
      <c r="B65" s="103" t="s">
        <v>111</v>
      </c>
      <c r="C65" s="800">
        <v>200000</v>
      </c>
      <c r="D65" s="800">
        <f>SUMIFS(MapFy2024_25!D:D,MapFy2024_25!B:B,'DB OSS'!B65)</f>
        <v>225203</v>
      </c>
      <c r="E65" s="800">
        <v>160000</v>
      </c>
      <c r="F65" s="800">
        <f>SUMIFS(MapFy2025_26!E:E,MapFy2025_26!B:B,B65)</f>
        <v>225203</v>
      </c>
      <c r="G65" s="800">
        <f>SUMIFS(MapFy2025_26!D:D,MapFy2025_26!B:B,'DB OSS'!B65)</f>
        <v>135750</v>
      </c>
      <c r="H65" s="801"/>
      <c r="O65" s="800">
        <v>160000</v>
      </c>
      <c r="P65" s="802"/>
      <c r="Q65" s="802"/>
      <c r="S65" s="800">
        <v>160000</v>
      </c>
      <c r="T65" s="802"/>
    </row>
    <row r="66" spans="2:20" ht="15.6" hidden="1" x14ac:dyDescent="0.3">
      <c r="B66" s="93" t="str">
        <f t="shared" ref="B66:G66" si="43">B13</f>
        <v>Total Revenues:</v>
      </c>
      <c r="C66" s="800">
        <f t="shared" si="43"/>
        <v>1090000</v>
      </c>
      <c r="D66" s="800">
        <f t="shared" si="43"/>
        <v>1242743.3400000001</v>
      </c>
      <c r="E66" s="800">
        <f t="shared" si="43"/>
        <v>995000</v>
      </c>
      <c r="F66" s="800">
        <f t="shared" si="43"/>
        <v>590796.64999999991</v>
      </c>
      <c r="G66" s="800">
        <f t="shared" si="43"/>
        <v>509561.52</v>
      </c>
      <c r="H66" s="801"/>
      <c r="O66" s="800">
        <f t="shared" ref="O66" si="44">O13</f>
        <v>978000</v>
      </c>
      <c r="P66" s="802"/>
      <c r="Q66" s="802"/>
      <c r="S66" s="800">
        <f t="shared" ref="S66" si="45">S13</f>
        <v>1050000</v>
      </c>
      <c r="T66" s="802"/>
    </row>
    <row r="67" spans="2:20" ht="15.6" hidden="1" x14ac:dyDescent="0.3">
      <c r="B67" s="94" t="str">
        <f t="shared" ref="B67:G67" si="46">B62</f>
        <v>TOTAL EXPENSE:</v>
      </c>
      <c r="C67" s="800">
        <f t="shared" si="46"/>
        <v>1239000</v>
      </c>
      <c r="D67" s="800">
        <f t="shared" si="46"/>
        <v>1332196.3500000001</v>
      </c>
      <c r="E67" s="800">
        <f t="shared" si="46"/>
        <v>1094500</v>
      </c>
      <c r="F67" s="800">
        <f t="shared" si="46"/>
        <v>558132.65999999992</v>
      </c>
      <c r="G67" s="800">
        <f t="shared" si="46"/>
        <v>547179.94000000006</v>
      </c>
      <c r="H67" s="801"/>
      <c r="O67" s="800">
        <f t="shared" ref="O67" si="47">O62</f>
        <v>983000</v>
      </c>
      <c r="P67" s="802"/>
      <c r="Q67" s="802"/>
      <c r="S67" s="800">
        <f t="shared" ref="S67" si="48">S62</f>
        <v>1045000</v>
      </c>
      <c r="T67" s="802"/>
    </row>
    <row r="68" spans="2:20" ht="31.8" hidden="1" thickBot="1" x14ac:dyDescent="0.35">
      <c r="B68" s="95" t="s">
        <v>525</v>
      </c>
      <c r="C68" s="803">
        <f>C65+C66-C67</f>
        <v>51000</v>
      </c>
      <c r="D68" s="803">
        <f>D65+D66-D67</f>
        <v>135749.99</v>
      </c>
      <c r="E68" s="803">
        <f>E65+E66-E67</f>
        <v>60500</v>
      </c>
      <c r="F68" s="803">
        <f>F65+F66-F67</f>
        <v>257866.99</v>
      </c>
      <c r="G68" s="803">
        <f>G65+G66-G67</f>
        <v>98131.579999999958</v>
      </c>
      <c r="H68" s="801"/>
      <c r="O68" s="803">
        <f>O65+O66-O67</f>
        <v>155000</v>
      </c>
      <c r="P68" s="802"/>
      <c r="Q68" s="802"/>
      <c r="S68" s="803">
        <f>S65+S66-S67</f>
        <v>165000</v>
      </c>
      <c r="T68" s="802"/>
    </row>
    <row r="69" spans="2:20" hidden="1" x14ac:dyDescent="0.3"/>
  </sheetData>
  <mergeCells count="1">
    <mergeCell ref="A1:U1"/>
  </mergeCells>
  <pageMargins left="0.4375" right="0.25" top="0.39583333333333298" bottom="0.54" header="0.3" footer="0.18"/>
  <pageSetup scale="85" orientation="landscape" verticalDpi="598" r:id="rId1"/>
  <headerFoot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8"/>
  <sheetViews>
    <sheetView view="pageBreakPreview" zoomScale="90" zoomScaleNormal="100" zoomScaleSheetLayoutView="90" workbookViewId="0">
      <selection activeCell="A2" sqref="A2"/>
    </sheetView>
  </sheetViews>
  <sheetFormatPr defaultRowHeight="14.4" x14ac:dyDescent="0.3"/>
  <cols>
    <col min="1" max="1" width="46.33203125" customWidth="1"/>
    <col min="2" max="2" width="2.5546875" customWidth="1"/>
    <col min="3" max="4" width="12.5546875" hidden="1" customWidth="1"/>
    <col min="5" max="5" width="10.88671875" customWidth="1"/>
    <col min="6" max="6" width="13.5546875" customWidth="1"/>
    <col min="7" max="7" width="14" customWidth="1"/>
    <col min="8" max="8" width="12.109375" bestFit="1" customWidth="1"/>
  </cols>
  <sheetData>
    <row r="1" spans="1:10" x14ac:dyDescent="0.3">
      <c r="A1" s="83" t="s">
        <v>949</v>
      </c>
    </row>
    <row r="2" spans="1:10" x14ac:dyDescent="0.3">
      <c r="A2" s="84" t="str">
        <f>'A- Summary Inc_Ex'!B2</f>
        <v>9.22.2026</v>
      </c>
    </row>
    <row r="3" spans="1:10" x14ac:dyDescent="0.3">
      <c r="A3" s="84"/>
      <c r="C3" s="131"/>
      <c r="D3" s="131"/>
      <c r="E3" s="131"/>
      <c r="F3" s="131"/>
    </row>
    <row r="4" spans="1:10" ht="57.6" x14ac:dyDescent="0.3">
      <c r="A4" s="91"/>
      <c r="B4" s="92"/>
      <c r="C4" s="89" t="e">
        <f>'Top Line Rep'!#REF!</f>
        <v>#REF!</v>
      </c>
      <c r="D4" s="89" t="str">
        <f>'Top Line Rep'!B3</f>
        <v>APPROVED Amended  Budget 2024_25</v>
      </c>
      <c r="E4" s="89" t="str">
        <f>'Top Line Rep'!C3</f>
        <v>Final
FY 24_25
FYE</v>
      </c>
      <c r="F4" s="89" t="str">
        <f>'A- Summary Inc_Ex'!E3</f>
        <v>FY2025/26 ADOPTED BUDGET</v>
      </c>
      <c r="G4" s="90" t="str">
        <f>'A- Summary Inc_Ex'!F3</f>
        <v>Previous
Year toDate
3/31/2025</v>
      </c>
      <c r="H4" s="90" t="str">
        <f>'A- Summary Inc_Ex'!G3</f>
        <v>FY 25_26
 to Date
3/31/2026</v>
      </c>
    </row>
    <row r="5" spans="1:10" x14ac:dyDescent="0.3">
      <c r="A5" s="84"/>
      <c r="J5" s="75"/>
    </row>
    <row r="6" spans="1:10" x14ac:dyDescent="0.3">
      <c r="A6" s="85" t="s">
        <v>495</v>
      </c>
      <c r="C6" s="87"/>
      <c r="D6" s="87">
        <f>-54683.29+71078.41+543598.84+340063.25</f>
        <v>900057.21</v>
      </c>
      <c r="E6" s="87">
        <f>-54683.29+71078.41+543598.84+340063.25</f>
        <v>900057.21</v>
      </c>
      <c r="F6" s="87">
        <f>E16</f>
        <v>901629.26</v>
      </c>
      <c r="G6" s="87">
        <f>E16</f>
        <v>901629.26</v>
      </c>
      <c r="H6" s="87">
        <f>E16</f>
        <v>901629.26</v>
      </c>
      <c r="J6" s="75"/>
    </row>
    <row r="7" spans="1:10" x14ac:dyDescent="0.3">
      <c r="A7" s="85"/>
      <c r="C7" s="87"/>
      <c r="D7" s="87"/>
      <c r="E7" s="87"/>
      <c r="F7" s="87"/>
      <c r="G7" s="87"/>
      <c r="H7" s="87"/>
    </row>
    <row r="8" spans="1:10" ht="28.8" x14ac:dyDescent="0.3">
      <c r="A8" s="98" t="s">
        <v>587</v>
      </c>
      <c r="C8" s="87"/>
      <c r="D8" s="54">
        <v>-458685</v>
      </c>
      <c r="E8" s="54">
        <v>-458685</v>
      </c>
      <c r="F8" s="54"/>
      <c r="G8" s="54"/>
      <c r="H8" s="54"/>
      <c r="I8" s="87"/>
    </row>
    <row r="9" spans="1:10" x14ac:dyDescent="0.3">
      <c r="A9" s="85"/>
      <c r="J9" s="75"/>
    </row>
    <row r="10" spans="1:10" ht="28.8" x14ac:dyDescent="0.3">
      <c r="A10" s="98" t="s">
        <v>952</v>
      </c>
      <c r="H10" s="105">
        <v>-135750</v>
      </c>
      <c r="J10" s="75"/>
    </row>
    <row r="11" spans="1:10" x14ac:dyDescent="0.3">
      <c r="A11" s="85"/>
      <c r="J11" s="75"/>
    </row>
    <row r="12" spans="1:10" x14ac:dyDescent="0.3">
      <c r="A12" s="85" t="s">
        <v>496</v>
      </c>
      <c r="C12" s="54"/>
      <c r="D12" s="54">
        <f>'A- Summary Inc_Ex'!C66+'A- Summary Inc_Ex'!C76</f>
        <v>-126254.84234999982</v>
      </c>
      <c r="E12" s="54">
        <f>'A- Summary Inc_Ex'!D66+'A- Summary Inc_Ex'!D76</f>
        <v>235054.05000000005</v>
      </c>
      <c r="F12" s="54">
        <f>'A- Summary Inc_Ex'!E66+'A- Summary Inc_Ex'!E76</f>
        <v>-91271.120000000112</v>
      </c>
      <c r="G12" s="54">
        <f>'A- Summary Inc_Ex'!F66+'A- Summary Inc_Ex'!F76</f>
        <v>891793.5900000002</v>
      </c>
      <c r="H12" s="54">
        <f>'A- Summary Inc_Ex'!G66+'A- Summary Inc_Ex'!G76</f>
        <v>852382.30999999994</v>
      </c>
      <c r="I12" s="54"/>
      <c r="J12" s="75"/>
    </row>
    <row r="13" spans="1:10" x14ac:dyDescent="0.3">
      <c r="A13" s="85"/>
      <c r="C13" s="54"/>
      <c r="D13" s="54"/>
      <c r="E13" s="54"/>
      <c r="F13" s="54"/>
      <c r="G13" s="54"/>
      <c r="H13" s="54"/>
      <c r="I13" s="54"/>
      <c r="J13" s="75"/>
    </row>
    <row r="14" spans="1:10" x14ac:dyDescent="0.3">
      <c r="A14" t="s">
        <v>561</v>
      </c>
      <c r="C14" s="54"/>
      <c r="D14" s="54">
        <f>'A- Summary Inc_Ex'!C69+'A- Summary Inc_Ex'!C79</f>
        <v>200000</v>
      </c>
      <c r="E14" s="54">
        <f>'A- Summary Inc_Ex'!D69+'A- Summary Inc_Ex'!D79</f>
        <v>225203</v>
      </c>
      <c r="F14" s="54">
        <f>'A- Summary Inc_Ex'!E79</f>
        <v>160000</v>
      </c>
      <c r="G14" s="54">
        <f>'A- Summary Inc_Ex'!F69+'A- Summary Inc_Ex'!F79</f>
        <v>225203</v>
      </c>
      <c r="H14" s="54">
        <f>'A- Summary Inc_Ex'!G79</f>
        <v>135750</v>
      </c>
      <c r="I14" s="54"/>
    </row>
    <row r="15" spans="1:10" x14ac:dyDescent="0.3">
      <c r="A15" s="85"/>
      <c r="I15" s="75"/>
    </row>
    <row r="16" spans="1:10" ht="15" thickBot="1" x14ac:dyDescent="0.35">
      <c r="A16" s="86" t="s">
        <v>497</v>
      </c>
      <c r="B16" s="88"/>
      <c r="C16" s="99"/>
      <c r="D16" s="99">
        <f>D6+D8+D9+D12+D14</f>
        <v>515117.36765000015</v>
      </c>
      <c r="E16" s="99">
        <f>E6+E8+E9+E12+E14</f>
        <v>901629.26</v>
      </c>
      <c r="F16" s="99">
        <f>F6+F8+F9+F12+F14</f>
        <v>970358.1399999999</v>
      </c>
      <c r="G16" s="99">
        <f>G6+G8+G9+G12+G14</f>
        <v>2018625.85</v>
      </c>
      <c r="H16" s="99">
        <f>H6+H8+H10+H12+H14</f>
        <v>1754011.5699999998</v>
      </c>
    </row>
    <row r="17" spans="5:8" ht="15" thickTop="1" x14ac:dyDescent="0.3">
      <c r="E17" s="54"/>
      <c r="H17" s="54"/>
    </row>
    <row r="18" spans="5:8" x14ac:dyDescent="0.3">
      <c r="H18" s="54"/>
    </row>
    <row r="19" spans="5:8" x14ac:dyDescent="0.3">
      <c r="F19" s="97"/>
    </row>
    <row r="20" spans="5:8" x14ac:dyDescent="0.3">
      <c r="E20" s="54"/>
      <c r="F20" s="97"/>
    </row>
    <row r="21" spans="5:8" x14ac:dyDescent="0.3">
      <c r="F21" s="97"/>
    </row>
    <row r="22" spans="5:8" x14ac:dyDescent="0.3">
      <c r="E22" s="87"/>
      <c r="F22" s="97"/>
    </row>
    <row r="24" spans="5:8" x14ac:dyDescent="0.3">
      <c r="E24" s="54"/>
      <c r="F24" s="54"/>
    </row>
    <row r="25" spans="5:8" x14ac:dyDescent="0.3">
      <c r="F25" s="16"/>
    </row>
    <row r="26" spans="5:8" x14ac:dyDescent="0.3">
      <c r="F26" s="54"/>
    </row>
    <row r="27" spans="5:8" x14ac:dyDescent="0.3">
      <c r="F27" s="54"/>
    </row>
    <row r="28" spans="5:8" x14ac:dyDescent="0.3">
      <c r="F28" s="54"/>
    </row>
  </sheetData>
  <mergeCells count="1">
    <mergeCell ref="C3:F3"/>
  </mergeCells>
  <pageMargins left="0.7" right="0.7" top="0.75" bottom="0.75" header="0.3" footer="0.3"/>
  <pageSetup fitToHeight="0" orientation="landscape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I40"/>
  <sheetViews>
    <sheetView zoomScaleNormal="100" workbookViewId="0">
      <selection activeCell="M23" sqref="M23"/>
    </sheetView>
  </sheetViews>
  <sheetFormatPr defaultRowHeight="14.4" x14ac:dyDescent="0.3"/>
  <cols>
    <col min="2" max="2" width="40" bestFit="1" customWidth="1"/>
    <col min="3" max="3" width="48.44140625" customWidth="1"/>
    <col min="4" max="4" width="12.6640625" bestFit="1" customWidth="1"/>
    <col min="5" max="5" width="9.109375" customWidth="1"/>
    <col min="6" max="6" width="40" hidden="1" customWidth="1"/>
    <col min="7" max="7" width="14.109375" style="17" hidden="1" customWidth="1"/>
    <col min="8" max="8" width="9.109375" hidden="1" customWidth="1"/>
    <col min="9" max="9" width="6.5546875" hidden="1" customWidth="1"/>
    <col min="10" max="13" width="9.109375" customWidth="1"/>
  </cols>
  <sheetData>
    <row r="1" spans="2:9" x14ac:dyDescent="0.3">
      <c r="B1" t="s">
        <v>401</v>
      </c>
      <c r="F1" t="s">
        <v>516</v>
      </c>
      <c r="I1" t="s">
        <v>402</v>
      </c>
    </row>
    <row r="2" spans="2:9" x14ac:dyDescent="0.3">
      <c r="B2" s="77" t="s">
        <v>403</v>
      </c>
      <c r="C2" t="s">
        <v>404</v>
      </c>
      <c r="D2" s="75">
        <f>SUMIFS(ProgramEventDetail!H:H,ProgramEventDetail!E:E,ProgramEventSummary!C2)</f>
        <v>0</v>
      </c>
      <c r="F2" t="s">
        <v>405</v>
      </c>
      <c r="G2" s="17">
        <f>SUMIFS(ProgramEventDetail!H:H,ProgramEventDetail!A:A,ProgramEventSummary!I2)</f>
        <v>265145.61</v>
      </c>
      <c r="I2" t="s">
        <v>406</v>
      </c>
    </row>
    <row r="3" spans="2:9" x14ac:dyDescent="0.3">
      <c r="B3" s="77" t="s">
        <v>407</v>
      </c>
      <c r="C3" t="s">
        <v>408</v>
      </c>
      <c r="D3" s="75">
        <f>SUMIFS(ProgramEventDetail!H:H,ProgramEventDetail!E:E,ProgramEventSummary!C3)</f>
        <v>0</v>
      </c>
      <c r="F3" t="s">
        <v>409</v>
      </c>
      <c r="G3" s="17">
        <f>-SUMIF(B:B,F3,D:D)</f>
        <v>-155537.81000000003</v>
      </c>
    </row>
    <row r="4" spans="2:9" x14ac:dyDescent="0.3">
      <c r="B4" s="77" t="s">
        <v>410</v>
      </c>
      <c r="C4" t="s">
        <v>411</v>
      </c>
      <c r="D4" s="75">
        <f>SUMIFS(ProgramEventDetail!H:H,ProgramEventDetail!E:E,ProgramEventSummary!C4)</f>
        <v>900</v>
      </c>
      <c r="F4" t="s">
        <v>412</v>
      </c>
      <c r="G4" s="17">
        <f>-SUMIF(B:B,F4,D:D)</f>
        <v>-109607.8</v>
      </c>
    </row>
    <row r="5" spans="2:9" x14ac:dyDescent="0.3">
      <c r="B5" s="77" t="s">
        <v>413</v>
      </c>
      <c r="C5" t="s">
        <v>414</v>
      </c>
      <c r="D5" s="75">
        <f>SUMIFS(ProgramEventDetail!H:H,ProgramEventDetail!E:E,ProgramEventSummary!C5)</f>
        <v>0</v>
      </c>
      <c r="F5" t="s">
        <v>415</v>
      </c>
      <c r="G5" s="17">
        <f>SUM(G2:G4)</f>
        <v>0</v>
      </c>
    </row>
    <row r="6" spans="2:9" x14ac:dyDescent="0.3">
      <c r="B6" s="77" t="s">
        <v>416</v>
      </c>
      <c r="C6" t="s">
        <v>417</v>
      </c>
      <c r="D6" s="75">
        <f>SUMIFS(ProgramEventDetail!H:H,ProgramEventDetail!E:E,ProgramEventSummary!C6)</f>
        <v>0</v>
      </c>
    </row>
    <row r="7" spans="2:9" x14ac:dyDescent="0.3">
      <c r="B7" s="77" t="s">
        <v>418</v>
      </c>
      <c r="C7" t="s">
        <v>419</v>
      </c>
      <c r="D7" s="75">
        <f>SUMIFS(ProgramEventDetail!H:H,ProgramEventDetail!E:E,ProgramEventSummary!C7)</f>
        <v>0</v>
      </c>
    </row>
    <row r="8" spans="2:9" x14ac:dyDescent="0.3">
      <c r="B8" s="77" t="s">
        <v>420</v>
      </c>
      <c r="C8" t="s">
        <v>421</v>
      </c>
      <c r="D8" s="75">
        <f>SUMIFS(ProgramEventDetail!H:H,ProgramEventDetail!E:E,ProgramEventSummary!C8)</f>
        <v>34149.449999999997</v>
      </c>
    </row>
    <row r="9" spans="2:9" x14ac:dyDescent="0.3">
      <c r="B9" s="77" t="s">
        <v>422</v>
      </c>
      <c r="C9" t="s">
        <v>423</v>
      </c>
      <c r="D9" s="75">
        <f>SUMIFS(ProgramEventDetail!H:H,ProgramEventDetail!E:E,ProgramEventSummary!C9)</f>
        <v>10040.51</v>
      </c>
    </row>
    <row r="10" spans="2:9" x14ac:dyDescent="0.3">
      <c r="B10" s="77" t="s">
        <v>424</v>
      </c>
      <c r="C10" t="s">
        <v>425</v>
      </c>
      <c r="D10" s="75">
        <f>SUMIFS(ProgramEventDetail!H:H,ProgramEventDetail!E:E,ProgramEventSummary!C10)</f>
        <v>0</v>
      </c>
    </row>
    <row r="11" spans="2:9" x14ac:dyDescent="0.3">
      <c r="B11" s="77" t="s">
        <v>426</v>
      </c>
      <c r="C11" t="s">
        <v>427</v>
      </c>
      <c r="D11" s="75">
        <f>SUMIFS(ProgramEventDetail!H:H,ProgramEventDetail!E:E,ProgramEventSummary!C11)</f>
        <v>0</v>
      </c>
    </row>
    <row r="12" spans="2:9" x14ac:dyDescent="0.3">
      <c r="B12" s="77" t="s">
        <v>428</v>
      </c>
      <c r="C12" t="s">
        <v>429</v>
      </c>
      <c r="D12" s="75">
        <f>SUMIFS(ProgramEventDetail!H:H,ProgramEventDetail!E:E,ProgramEventSummary!C12)</f>
        <v>0</v>
      </c>
    </row>
    <row r="13" spans="2:9" x14ac:dyDescent="0.3">
      <c r="B13" s="77" t="s">
        <v>430</v>
      </c>
      <c r="C13" t="s">
        <v>431</v>
      </c>
      <c r="D13" s="75">
        <f>SUMIFS(ProgramEventDetail!H:H,ProgramEventDetail!E:E,ProgramEventSummary!C13)</f>
        <v>503.52</v>
      </c>
    </row>
    <row r="14" spans="2:9" x14ac:dyDescent="0.3">
      <c r="B14" s="77" t="s">
        <v>432</v>
      </c>
      <c r="C14" t="s">
        <v>433</v>
      </c>
      <c r="D14" s="75">
        <f>SUMIFS(ProgramEventDetail!H:H,ProgramEventDetail!E:E,ProgramEventSummary!C14)</f>
        <v>0</v>
      </c>
    </row>
    <row r="15" spans="2:9" x14ac:dyDescent="0.3">
      <c r="B15" s="77" t="s">
        <v>434</v>
      </c>
      <c r="C15" t="s">
        <v>435</v>
      </c>
      <c r="D15" s="75">
        <f>SUMIFS(ProgramEventDetail!H:H,ProgramEventDetail!E:E,ProgramEventSummary!C15)</f>
        <v>0</v>
      </c>
    </row>
    <row r="16" spans="2:9" x14ac:dyDescent="0.3">
      <c r="B16" s="77" t="s">
        <v>436</v>
      </c>
      <c r="C16" t="s">
        <v>437</v>
      </c>
      <c r="D16" s="75">
        <f>SUMIFS(ProgramEventDetail!H:H,ProgramEventDetail!E:E,ProgramEventSummary!C16)</f>
        <v>99734.23000000001</v>
      </c>
    </row>
    <row r="17" spans="2:4" x14ac:dyDescent="0.3">
      <c r="B17" s="77" t="s">
        <v>438</v>
      </c>
      <c r="C17" t="s">
        <v>439</v>
      </c>
      <c r="D17" s="75">
        <f>SUMIFS(ProgramEventDetail!H:H,ProgramEventDetail!E:E,ProgramEventSummary!C17)</f>
        <v>1460.1</v>
      </c>
    </row>
    <row r="18" spans="2:4" x14ac:dyDescent="0.3">
      <c r="B18" s="77" t="s">
        <v>440</v>
      </c>
      <c r="C18" t="s">
        <v>441</v>
      </c>
      <c r="D18" s="75">
        <f>SUMIFS(ProgramEventDetail!H:H,ProgramEventDetail!E:E,ProgramEventSummary!C18)</f>
        <v>8750</v>
      </c>
    </row>
    <row r="19" spans="2:4" ht="15" thickBot="1" x14ac:dyDescent="0.35">
      <c r="B19" t="s">
        <v>409</v>
      </c>
      <c r="D19" s="76">
        <f>SUM(D2:D18)</f>
        <v>155537.81000000003</v>
      </c>
    </row>
    <row r="20" spans="2:4" ht="15" thickTop="1" x14ac:dyDescent="0.3">
      <c r="D20" s="75"/>
    </row>
    <row r="21" spans="2:4" x14ac:dyDescent="0.3">
      <c r="B21" t="s">
        <v>442</v>
      </c>
      <c r="D21" s="75"/>
    </row>
    <row r="22" spans="2:4" x14ac:dyDescent="0.3">
      <c r="B22" t="s">
        <v>685</v>
      </c>
      <c r="C22" t="s">
        <v>682</v>
      </c>
      <c r="D22" s="75">
        <f>SUMIFS(ProgramEventDetail!H:H,ProgramEventDetail!E:E,ProgramEventSummary!C22)</f>
        <v>11417.460000000001</v>
      </c>
    </row>
    <row r="23" spans="2:4" x14ac:dyDescent="0.3">
      <c r="B23" s="77" t="s">
        <v>443</v>
      </c>
      <c r="C23" t="s">
        <v>444</v>
      </c>
      <c r="D23" s="75">
        <f>SUMIFS(ProgramEventDetail!H:H,ProgramEventDetail!E:E,ProgramEventSummary!C23)</f>
        <v>74.25</v>
      </c>
    </row>
    <row r="24" spans="2:4" x14ac:dyDescent="0.3">
      <c r="B24" s="77" t="s">
        <v>445</v>
      </c>
      <c r="C24" t="s">
        <v>446</v>
      </c>
      <c r="D24" s="75">
        <f>SUMIFS(ProgramEventDetail!H:H,ProgramEventDetail!E:E,ProgramEventSummary!C24)</f>
        <v>592.25</v>
      </c>
    </row>
    <row r="25" spans="2:4" x14ac:dyDescent="0.3">
      <c r="B25" s="77" t="s">
        <v>447</v>
      </c>
      <c r="C25" t="s">
        <v>448</v>
      </c>
      <c r="D25" s="75">
        <f>SUMIFS(ProgramEventDetail!H:H,ProgramEventDetail!E:E,ProgramEventSummary!C25)</f>
        <v>48518.539999999994</v>
      </c>
    </row>
    <row r="26" spans="2:4" x14ac:dyDescent="0.3">
      <c r="B26" s="77" t="s">
        <v>449</v>
      </c>
      <c r="C26" t="s">
        <v>450</v>
      </c>
      <c r="D26" s="75">
        <f>SUMIFS(ProgramEventDetail!H:H,ProgramEventDetail!E:E,ProgramEventSummary!C26)</f>
        <v>1803</v>
      </c>
    </row>
    <row r="27" spans="2:4" x14ac:dyDescent="0.3">
      <c r="B27" s="77" t="s">
        <v>451</v>
      </c>
      <c r="C27" t="s">
        <v>452</v>
      </c>
      <c r="D27" s="75">
        <f>SUMIFS(ProgramEventDetail!H:H,ProgramEventDetail!E:E,ProgramEventSummary!C27)</f>
        <v>650</v>
      </c>
    </row>
    <row r="28" spans="2:4" x14ac:dyDescent="0.3">
      <c r="B28" s="77" t="s">
        <v>453</v>
      </c>
      <c r="C28" t="s">
        <v>454</v>
      </c>
      <c r="D28" s="75">
        <f>SUMIFS(ProgramEventDetail!H:H,ProgramEventDetail!E:E,ProgramEventSummary!C28)</f>
        <v>0</v>
      </c>
    </row>
    <row r="29" spans="2:4" x14ac:dyDescent="0.3">
      <c r="B29" s="77" t="s">
        <v>455</v>
      </c>
      <c r="C29" t="s">
        <v>456</v>
      </c>
      <c r="D29" s="75">
        <f>SUMIFS(ProgramEventDetail!H:H,ProgramEventDetail!E:E,ProgramEventSummary!C29)</f>
        <v>0</v>
      </c>
    </row>
    <row r="30" spans="2:4" x14ac:dyDescent="0.3">
      <c r="B30" s="77" t="s">
        <v>457</v>
      </c>
      <c r="C30" t="s">
        <v>458</v>
      </c>
      <c r="D30" s="75">
        <f>SUMIFS(ProgramEventDetail!H:H,ProgramEventDetail!E:E,ProgramEventSummary!C30)</f>
        <v>0</v>
      </c>
    </row>
    <row r="31" spans="2:4" x14ac:dyDescent="0.3">
      <c r="B31" s="77" t="s">
        <v>459</v>
      </c>
      <c r="C31" t="s">
        <v>460</v>
      </c>
      <c r="D31" s="75">
        <f>SUMIFS(ProgramEventDetail!H:H,ProgramEventDetail!E:E,ProgramEventSummary!C31)</f>
        <v>5190</v>
      </c>
    </row>
    <row r="32" spans="2:4" x14ac:dyDescent="0.3">
      <c r="B32" s="77" t="s">
        <v>461</v>
      </c>
      <c r="C32" t="s">
        <v>462</v>
      </c>
      <c r="D32" s="75">
        <f>SUMIFS(ProgramEventDetail!H:H,ProgramEventDetail!E:E,ProgramEventSummary!C32)</f>
        <v>30540.960000000003</v>
      </c>
    </row>
    <row r="33" spans="2:4" x14ac:dyDescent="0.3">
      <c r="B33" s="77" t="s">
        <v>463</v>
      </c>
      <c r="C33" t="s">
        <v>464</v>
      </c>
      <c r="D33" s="75">
        <f>SUMIFS(ProgramEventDetail!H:H,ProgramEventDetail!E:E,ProgramEventSummary!C33)</f>
        <v>0</v>
      </c>
    </row>
    <row r="34" spans="2:4" x14ac:dyDescent="0.3">
      <c r="B34" s="77" t="s">
        <v>465</v>
      </c>
      <c r="C34" t="s">
        <v>466</v>
      </c>
      <c r="D34" s="75">
        <f>SUMIFS(ProgramEventDetail!H:H,ProgramEventDetail!E:E,ProgramEventSummary!C34)</f>
        <v>0</v>
      </c>
    </row>
    <row r="35" spans="2:4" x14ac:dyDescent="0.3">
      <c r="B35" s="77" t="s">
        <v>467</v>
      </c>
      <c r="C35" t="s">
        <v>468</v>
      </c>
      <c r="D35" s="75">
        <f>SUMIFS(ProgramEventDetail!H:H,ProgramEventDetail!E:E,ProgramEventSummary!C35)</f>
        <v>10446.34</v>
      </c>
    </row>
    <row r="36" spans="2:4" x14ac:dyDescent="0.3">
      <c r="B36" s="77" t="s">
        <v>469</v>
      </c>
      <c r="C36" t="s">
        <v>470</v>
      </c>
      <c r="D36" s="75">
        <f>SUMIFS(ProgramEventDetail!H:H,ProgramEventDetail!E:E,ProgramEventSummary!C36)</f>
        <v>375</v>
      </c>
    </row>
    <row r="37" spans="2:4" x14ac:dyDescent="0.3">
      <c r="B37" s="77" t="s">
        <v>471</v>
      </c>
      <c r="C37" t="s">
        <v>472</v>
      </c>
      <c r="D37" s="75">
        <f>SUMIFS(ProgramEventDetail!H:H,ProgramEventDetail!E:E,ProgramEventSummary!C37)</f>
        <v>0</v>
      </c>
    </row>
    <row r="38" spans="2:4" x14ac:dyDescent="0.3">
      <c r="B38" s="77" t="s">
        <v>473</v>
      </c>
      <c r="C38" t="s">
        <v>474</v>
      </c>
      <c r="D38" s="75">
        <f>SUMIFS(ProgramEventDetail!H:H,ProgramEventDetail!E:E,ProgramEventSummary!C38)</f>
        <v>0</v>
      </c>
    </row>
    <row r="39" spans="2:4" ht="15" thickBot="1" x14ac:dyDescent="0.35">
      <c r="B39" t="s">
        <v>412</v>
      </c>
      <c r="D39" s="76">
        <f>SUM(D22:D38)</f>
        <v>109607.8</v>
      </c>
    </row>
    <row r="40" spans="2:4" ht="15" thickTop="1" x14ac:dyDescent="0.3"/>
  </sheetData>
  <pageMargins left="0.7" right="0.7" top="0.75" bottom="0.75" header="0.3" footer="0.3"/>
  <pageSetup scale="82" fitToHeight="0" orientation="portrait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5"/>
  <sheetViews>
    <sheetView workbookViewId="0">
      <selection sqref="A1:I1048576"/>
    </sheetView>
  </sheetViews>
  <sheetFormatPr defaultRowHeight="14.4" x14ac:dyDescent="0.3"/>
  <cols>
    <col min="1" max="1" width="37.33203125" bestFit="1" customWidth="1"/>
    <col min="2" max="2" width="17.5546875" bestFit="1" customWidth="1"/>
    <col min="3" max="3" width="10.44140625" bestFit="1" customWidth="1"/>
    <col min="4" max="4" width="17" bestFit="1" customWidth="1"/>
    <col min="5" max="5" width="44.6640625" bestFit="1" customWidth="1"/>
    <col min="6" max="6" width="28.88671875" bestFit="1" customWidth="1"/>
    <col min="7" max="7" width="90.88671875" bestFit="1" customWidth="1"/>
    <col min="8" max="9" width="10" bestFit="1" customWidth="1"/>
  </cols>
  <sheetData>
    <row r="1" spans="1:9" x14ac:dyDescent="0.3">
      <c r="B1" t="s">
        <v>475</v>
      </c>
      <c r="C1" t="s">
        <v>476</v>
      </c>
      <c r="D1" t="s">
        <v>477</v>
      </c>
      <c r="E1" t="s">
        <v>163</v>
      </c>
      <c r="F1" t="s">
        <v>478</v>
      </c>
      <c r="G1" t="s">
        <v>479</v>
      </c>
      <c r="H1" t="s">
        <v>189</v>
      </c>
      <c r="I1" t="s">
        <v>480</v>
      </c>
    </row>
    <row r="2" spans="1:9" x14ac:dyDescent="0.3">
      <c r="A2" t="s">
        <v>367</v>
      </c>
    </row>
    <row r="3" spans="1:9" x14ac:dyDescent="0.3">
      <c r="A3" t="s">
        <v>277</v>
      </c>
    </row>
    <row r="4" spans="1:9" x14ac:dyDescent="0.3">
      <c r="B4" t="s">
        <v>481</v>
      </c>
      <c r="C4" s="74">
        <v>45937</v>
      </c>
      <c r="D4">
        <v>21703</v>
      </c>
      <c r="E4" t="s">
        <v>437</v>
      </c>
      <c r="F4" t="s">
        <v>490</v>
      </c>
      <c r="G4" t="s">
        <v>592</v>
      </c>
      <c r="H4">
        <v>1000</v>
      </c>
      <c r="I4">
        <v>1000</v>
      </c>
    </row>
    <row r="5" spans="1:9" x14ac:dyDescent="0.3">
      <c r="B5" t="s">
        <v>481</v>
      </c>
      <c r="C5" s="74">
        <v>45940</v>
      </c>
      <c r="D5">
        <v>132501</v>
      </c>
      <c r="E5" t="s">
        <v>437</v>
      </c>
      <c r="F5" t="s">
        <v>515</v>
      </c>
      <c r="G5" t="s">
        <v>593</v>
      </c>
      <c r="H5">
        <v>598</v>
      </c>
      <c r="I5">
        <v>1598</v>
      </c>
    </row>
    <row r="6" spans="1:9" x14ac:dyDescent="0.3">
      <c r="B6" t="s">
        <v>483</v>
      </c>
      <c r="C6" s="74">
        <v>45950</v>
      </c>
      <c r="D6" t="s">
        <v>594</v>
      </c>
      <c r="E6" t="s">
        <v>421</v>
      </c>
      <c r="F6" t="s">
        <v>595</v>
      </c>
      <c r="G6" t="s">
        <v>596</v>
      </c>
      <c r="H6">
        <v>68.12</v>
      </c>
      <c r="I6">
        <v>1666.12</v>
      </c>
    </row>
    <row r="7" spans="1:9" x14ac:dyDescent="0.3">
      <c r="B7" t="s">
        <v>481</v>
      </c>
      <c r="C7" s="74">
        <v>45968</v>
      </c>
      <c r="D7" t="s">
        <v>597</v>
      </c>
      <c r="E7" t="s">
        <v>437</v>
      </c>
      <c r="F7" t="s">
        <v>598</v>
      </c>
      <c r="G7" t="s">
        <v>599</v>
      </c>
      <c r="H7">
        <v>1135</v>
      </c>
      <c r="I7">
        <v>2801.12</v>
      </c>
    </row>
    <row r="8" spans="1:9" x14ac:dyDescent="0.3">
      <c r="B8" t="s">
        <v>481</v>
      </c>
      <c r="C8" s="74">
        <v>45972</v>
      </c>
      <c r="D8" s="100" t="s">
        <v>600</v>
      </c>
      <c r="E8" t="s">
        <v>437</v>
      </c>
      <c r="F8" t="s">
        <v>601</v>
      </c>
      <c r="G8" t="s">
        <v>602</v>
      </c>
      <c r="H8">
        <v>315</v>
      </c>
      <c r="I8">
        <v>3116.12</v>
      </c>
    </row>
    <row r="9" spans="1:9" x14ac:dyDescent="0.3">
      <c r="B9" t="s">
        <v>481</v>
      </c>
      <c r="C9" s="74">
        <v>45982</v>
      </c>
      <c r="D9">
        <v>12152</v>
      </c>
      <c r="E9" t="s">
        <v>421</v>
      </c>
      <c r="F9" t="s">
        <v>491</v>
      </c>
      <c r="G9" t="s">
        <v>603</v>
      </c>
      <c r="H9">
        <v>836.75</v>
      </c>
      <c r="I9">
        <v>3952.87</v>
      </c>
    </row>
    <row r="10" spans="1:9" x14ac:dyDescent="0.3">
      <c r="B10" t="s">
        <v>481</v>
      </c>
      <c r="C10" s="74">
        <v>45982</v>
      </c>
      <c r="D10">
        <v>12153</v>
      </c>
      <c r="E10" t="s">
        <v>421</v>
      </c>
      <c r="F10" t="s">
        <v>491</v>
      </c>
      <c r="G10" t="s">
        <v>604</v>
      </c>
      <c r="H10">
        <v>747.5</v>
      </c>
      <c r="I10">
        <v>4700.37</v>
      </c>
    </row>
    <row r="11" spans="1:9" x14ac:dyDescent="0.3">
      <c r="B11" t="s">
        <v>481</v>
      </c>
      <c r="C11" s="74">
        <v>45982</v>
      </c>
      <c r="D11">
        <v>12280</v>
      </c>
      <c r="E11" t="s">
        <v>421</v>
      </c>
      <c r="F11" t="s">
        <v>491</v>
      </c>
      <c r="G11" t="s">
        <v>605</v>
      </c>
      <c r="H11">
        <v>747.5</v>
      </c>
      <c r="I11">
        <v>5447.87</v>
      </c>
    </row>
    <row r="12" spans="1:9" x14ac:dyDescent="0.3">
      <c r="B12" t="s">
        <v>481</v>
      </c>
      <c r="C12" s="74">
        <v>45982</v>
      </c>
      <c r="D12">
        <v>12155</v>
      </c>
      <c r="E12" t="s">
        <v>421</v>
      </c>
      <c r="F12" t="s">
        <v>491</v>
      </c>
      <c r="G12" t="s">
        <v>606</v>
      </c>
      <c r="H12">
        <v>455</v>
      </c>
      <c r="I12">
        <v>5902.87</v>
      </c>
    </row>
    <row r="13" spans="1:9" x14ac:dyDescent="0.3">
      <c r="B13" t="s">
        <v>481</v>
      </c>
      <c r="C13" s="74">
        <v>45984</v>
      </c>
      <c r="D13">
        <v>1188948</v>
      </c>
      <c r="E13" t="s">
        <v>421</v>
      </c>
      <c r="F13" t="s">
        <v>500</v>
      </c>
      <c r="G13" t="s">
        <v>607</v>
      </c>
      <c r="H13">
        <v>3240</v>
      </c>
      <c r="I13">
        <v>9142.8700000000008</v>
      </c>
    </row>
    <row r="14" spans="1:9" x14ac:dyDescent="0.3">
      <c r="B14" t="s">
        <v>481</v>
      </c>
      <c r="C14" s="74">
        <v>45989</v>
      </c>
      <c r="D14">
        <v>11262565</v>
      </c>
      <c r="E14" t="s">
        <v>423</v>
      </c>
      <c r="F14" t="s">
        <v>509</v>
      </c>
      <c r="G14" t="s">
        <v>608</v>
      </c>
      <c r="H14">
        <v>275</v>
      </c>
      <c r="I14">
        <v>9417.8700000000008</v>
      </c>
    </row>
    <row r="15" spans="1:9" x14ac:dyDescent="0.3">
      <c r="B15" t="s">
        <v>481</v>
      </c>
      <c r="C15" s="74">
        <v>46003</v>
      </c>
      <c r="D15">
        <v>1668</v>
      </c>
      <c r="E15" t="s">
        <v>437</v>
      </c>
      <c r="F15" t="s">
        <v>640</v>
      </c>
      <c r="G15" t="s">
        <v>641</v>
      </c>
      <c r="H15">
        <v>5000</v>
      </c>
      <c r="I15">
        <v>14417.87</v>
      </c>
    </row>
    <row r="16" spans="1:9" x14ac:dyDescent="0.3">
      <c r="B16" t="s">
        <v>481</v>
      </c>
      <c r="C16" s="74">
        <v>46003</v>
      </c>
      <c r="D16">
        <v>445486</v>
      </c>
      <c r="E16" t="s">
        <v>437</v>
      </c>
      <c r="F16" t="s">
        <v>642</v>
      </c>
      <c r="G16" t="s">
        <v>643</v>
      </c>
      <c r="H16">
        <v>38.92</v>
      </c>
      <c r="I16">
        <v>14456.79</v>
      </c>
    </row>
    <row r="17" spans="2:9" x14ac:dyDescent="0.3">
      <c r="B17" t="s">
        <v>481</v>
      </c>
      <c r="C17" s="74">
        <v>46007</v>
      </c>
      <c r="D17" t="s">
        <v>644</v>
      </c>
      <c r="E17" t="s">
        <v>437</v>
      </c>
      <c r="F17" t="s">
        <v>645</v>
      </c>
      <c r="G17" t="s">
        <v>646</v>
      </c>
      <c r="H17">
        <v>7200</v>
      </c>
      <c r="I17">
        <v>21656.79</v>
      </c>
    </row>
    <row r="18" spans="2:9" x14ac:dyDescent="0.3">
      <c r="B18" t="s">
        <v>481</v>
      </c>
      <c r="C18" s="74">
        <v>46007</v>
      </c>
      <c r="D18">
        <v>445549</v>
      </c>
      <c r="E18" t="s">
        <v>437</v>
      </c>
      <c r="F18" t="s">
        <v>642</v>
      </c>
      <c r="G18" t="s">
        <v>643</v>
      </c>
      <c r="H18">
        <v>8.42</v>
      </c>
      <c r="I18">
        <v>21665.21</v>
      </c>
    </row>
    <row r="19" spans="2:9" x14ac:dyDescent="0.3">
      <c r="B19" t="s">
        <v>481</v>
      </c>
      <c r="C19" s="74">
        <v>46008</v>
      </c>
      <c r="D19">
        <v>12162569</v>
      </c>
      <c r="E19" t="s">
        <v>423</v>
      </c>
      <c r="F19" t="s">
        <v>509</v>
      </c>
      <c r="G19" t="s">
        <v>647</v>
      </c>
      <c r="H19">
        <v>275</v>
      </c>
      <c r="I19">
        <v>21940.21</v>
      </c>
    </row>
    <row r="20" spans="2:9" x14ac:dyDescent="0.3">
      <c r="B20" t="s">
        <v>481</v>
      </c>
      <c r="C20" s="74">
        <v>46008</v>
      </c>
      <c r="D20">
        <v>12140</v>
      </c>
      <c r="E20" t="s">
        <v>437</v>
      </c>
      <c r="F20" t="s">
        <v>491</v>
      </c>
      <c r="G20" t="s">
        <v>648</v>
      </c>
      <c r="H20">
        <v>3731.05</v>
      </c>
      <c r="I20">
        <v>25671.26</v>
      </c>
    </row>
    <row r="21" spans="2:9" x14ac:dyDescent="0.3">
      <c r="B21" t="s">
        <v>483</v>
      </c>
      <c r="C21" s="74">
        <v>46008</v>
      </c>
      <c r="D21" t="s">
        <v>649</v>
      </c>
      <c r="E21" t="s">
        <v>437</v>
      </c>
      <c r="F21" t="s">
        <v>650</v>
      </c>
      <c r="G21" t="s">
        <v>651</v>
      </c>
      <c r="H21">
        <v>88.29</v>
      </c>
      <c r="I21">
        <v>25759.55</v>
      </c>
    </row>
    <row r="22" spans="2:9" x14ac:dyDescent="0.3">
      <c r="B22" t="s">
        <v>481</v>
      </c>
      <c r="C22" s="74">
        <v>46009</v>
      </c>
      <c r="D22">
        <v>400</v>
      </c>
      <c r="E22" t="s">
        <v>437</v>
      </c>
      <c r="F22" t="s">
        <v>652</v>
      </c>
      <c r="G22" t="s">
        <v>653</v>
      </c>
      <c r="H22">
        <v>900</v>
      </c>
      <c r="I22">
        <v>26659.55</v>
      </c>
    </row>
    <row r="23" spans="2:9" x14ac:dyDescent="0.3">
      <c r="B23" t="s">
        <v>481</v>
      </c>
      <c r="C23" s="74">
        <v>46010</v>
      </c>
      <c r="D23" t="s">
        <v>654</v>
      </c>
      <c r="E23" t="s">
        <v>437</v>
      </c>
      <c r="F23" t="s">
        <v>655</v>
      </c>
      <c r="G23" t="s">
        <v>656</v>
      </c>
      <c r="H23">
        <v>4180.5</v>
      </c>
      <c r="I23">
        <v>30840.05</v>
      </c>
    </row>
    <row r="24" spans="2:9" x14ac:dyDescent="0.3">
      <c r="B24" t="s">
        <v>481</v>
      </c>
      <c r="C24" s="74">
        <v>46010</v>
      </c>
      <c r="D24" s="100" t="s">
        <v>657</v>
      </c>
      <c r="E24" t="s">
        <v>437</v>
      </c>
      <c r="F24" t="s">
        <v>658</v>
      </c>
      <c r="G24" t="s">
        <v>659</v>
      </c>
      <c r="H24">
        <v>500</v>
      </c>
      <c r="I24">
        <v>31340.05</v>
      </c>
    </row>
    <row r="25" spans="2:9" x14ac:dyDescent="0.3">
      <c r="B25" t="s">
        <v>481</v>
      </c>
      <c r="C25" s="74">
        <v>46013</v>
      </c>
      <c r="D25">
        <v>272</v>
      </c>
      <c r="E25" t="s">
        <v>437</v>
      </c>
      <c r="F25" t="s">
        <v>660</v>
      </c>
      <c r="G25" t="s">
        <v>661</v>
      </c>
      <c r="H25">
        <v>600</v>
      </c>
      <c r="I25">
        <v>31940.05</v>
      </c>
    </row>
    <row r="26" spans="2:9" x14ac:dyDescent="0.3">
      <c r="B26" t="s">
        <v>481</v>
      </c>
      <c r="C26" s="74">
        <v>46027</v>
      </c>
      <c r="D26">
        <v>12172026</v>
      </c>
      <c r="E26" t="s">
        <v>437</v>
      </c>
      <c r="F26" t="s">
        <v>692</v>
      </c>
      <c r="G26" t="s">
        <v>693</v>
      </c>
      <c r="H26">
        <v>75</v>
      </c>
      <c r="I26">
        <v>32015.05</v>
      </c>
    </row>
    <row r="27" spans="2:9" x14ac:dyDescent="0.3">
      <c r="B27" t="s">
        <v>481</v>
      </c>
      <c r="C27" s="74">
        <v>46030</v>
      </c>
      <c r="D27">
        <v>202512</v>
      </c>
      <c r="E27" t="s">
        <v>437</v>
      </c>
      <c r="F27" t="s">
        <v>694</v>
      </c>
      <c r="G27" t="s">
        <v>695</v>
      </c>
      <c r="H27">
        <v>29.75</v>
      </c>
      <c r="I27">
        <v>32044.799999999999</v>
      </c>
    </row>
    <row r="28" spans="2:9" x14ac:dyDescent="0.3">
      <c r="B28" t="s">
        <v>481</v>
      </c>
      <c r="C28" s="74">
        <v>46031</v>
      </c>
      <c r="D28" t="s">
        <v>696</v>
      </c>
      <c r="E28" t="s">
        <v>421</v>
      </c>
      <c r="F28" t="s">
        <v>598</v>
      </c>
      <c r="G28" t="s">
        <v>697</v>
      </c>
      <c r="H28">
        <v>1112.5</v>
      </c>
      <c r="I28">
        <v>33157.300000000003</v>
      </c>
    </row>
    <row r="29" spans="2:9" x14ac:dyDescent="0.3">
      <c r="B29" t="s">
        <v>483</v>
      </c>
      <c r="C29" s="74">
        <v>46031</v>
      </c>
      <c r="D29" t="s">
        <v>698</v>
      </c>
      <c r="E29" t="s">
        <v>421</v>
      </c>
      <c r="F29" t="s">
        <v>699</v>
      </c>
      <c r="G29" t="s">
        <v>700</v>
      </c>
      <c r="H29">
        <v>1185</v>
      </c>
      <c r="I29">
        <v>34342.300000000003</v>
      </c>
    </row>
    <row r="30" spans="2:9" x14ac:dyDescent="0.3">
      <c r="B30" t="s">
        <v>481</v>
      </c>
      <c r="C30" s="74">
        <v>46035</v>
      </c>
      <c r="D30">
        <v>3378</v>
      </c>
      <c r="E30" t="s">
        <v>421</v>
      </c>
      <c r="F30" t="s">
        <v>674</v>
      </c>
      <c r="G30" t="s">
        <v>701</v>
      </c>
      <c r="H30">
        <v>2300</v>
      </c>
      <c r="I30">
        <v>36642.300000000003</v>
      </c>
    </row>
    <row r="31" spans="2:9" x14ac:dyDescent="0.3">
      <c r="B31" t="s">
        <v>481</v>
      </c>
      <c r="C31" s="74">
        <v>46036</v>
      </c>
      <c r="D31">
        <v>45647</v>
      </c>
      <c r="E31" t="s">
        <v>437</v>
      </c>
      <c r="F31" t="s">
        <v>702</v>
      </c>
      <c r="G31" t="s">
        <v>703</v>
      </c>
      <c r="H31">
        <v>1394.04</v>
      </c>
      <c r="I31">
        <v>38036.339999999997</v>
      </c>
    </row>
    <row r="32" spans="2:9" x14ac:dyDescent="0.3">
      <c r="B32" t="s">
        <v>481</v>
      </c>
      <c r="C32" s="74">
        <v>46040</v>
      </c>
      <c r="D32" s="100" t="s">
        <v>704</v>
      </c>
      <c r="E32" t="s">
        <v>421</v>
      </c>
      <c r="F32" t="s">
        <v>658</v>
      </c>
      <c r="G32" t="s">
        <v>705</v>
      </c>
      <c r="H32">
        <v>250</v>
      </c>
      <c r="I32">
        <v>38286.339999999997</v>
      </c>
    </row>
    <row r="33" spans="2:9" x14ac:dyDescent="0.3">
      <c r="B33" t="s">
        <v>481</v>
      </c>
      <c r="C33" s="74">
        <v>46041</v>
      </c>
      <c r="D33">
        <v>403</v>
      </c>
      <c r="E33" t="s">
        <v>421</v>
      </c>
      <c r="F33" t="s">
        <v>652</v>
      </c>
      <c r="G33" t="s">
        <v>706</v>
      </c>
      <c r="H33">
        <v>625</v>
      </c>
      <c r="I33">
        <v>38911.339999999997</v>
      </c>
    </row>
    <row r="34" spans="2:9" x14ac:dyDescent="0.3">
      <c r="B34" t="s">
        <v>481</v>
      </c>
      <c r="C34" s="74">
        <v>46042</v>
      </c>
      <c r="D34" t="s">
        <v>707</v>
      </c>
      <c r="E34" t="s">
        <v>421</v>
      </c>
      <c r="F34" t="s">
        <v>655</v>
      </c>
      <c r="G34" t="s">
        <v>708</v>
      </c>
      <c r="H34">
        <v>2545</v>
      </c>
      <c r="I34">
        <v>41456.339999999997</v>
      </c>
    </row>
    <row r="35" spans="2:9" x14ac:dyDescent="0.3">
      <c r="B35" t="s">
        <v>730</v>
      </c>
      <c r="C35" s="74">
        <v>46054</v>
      </c>
      <c r="D35" t="s">
        <v>786</v>
      </c>
      <c r="E35" t="s">
        <v>437</v>
      </c>
      <c r="G35" t="s">
        <v>731</v>
      </c>
      <c r="H35">
        <v>5000</v>
      </c>
      <c r="I35">
        <v>46456.34</v>
      </c>
    </row>
    <row r="36" spans="2:9" x14ac:dyDescent="0.3">
      <c r="B36" t="s">
        <v>481</v>
      </c>
      <c r="C36" s="74">
        <v>46058</v>
      </c>
      <c r="D36">
        <v>12389</v>
      </c>
      <c r="E36" t="s">
        <v>421</v>
      </c>
      <c r="F36" t="s">
        <v>491</v>
      </c>
      <c r="G36" t="s">
        <v>732</v>
      </c>
      <c r="H36">
        <v>524.24</v>
      </c>
      <c r="I36">
        <v>46980.58</v>
      </c>
    </row>
    <row r="37" spans="2:9" x14ac:dyDescent="0.3">
      <c r="B37" t="s">
        <v>481</v>
      </c>
      <c r="C37" s="74">
        <v>46058</v>
      </c>
      <c r="D37" t="s">
        <v>733</v>
      </c>
      <c r="E37" t="s">
        <v>437</v>
      </c>
      <c r="F37" t="s">
        <v>734</v>
      </c>
      <c r="G37" t="s">
        <v>735</v>
      </c>
      <c r="H37">
        <v>25000</v>
      </c>
      <c r="I37">
        <v>71980.58</v>
      </c>
    </row>
    <row r="38" spans="2:9" x14ac:dyDescent="0.3">
      <c r="B38" t="s">
        <v>483</v>
      </c>
      <c r="C38" s="74">
        <v>46064</v>
      </c>
      <c r="D38" t="s">
        <v>736</v>
      </c>
      <c r="E38" t="s">
        <v>421</v>
      </c>
      <c r="F38" t="s">
        <v>650</v>
      </c>
      <c r="G38" t="s">
        <v>737</v>
      </c>
      <c r="H38">
        <v>19.7</v>
      </c>
      <c r="I38">
        <v>72000.28</v>
      </c>
    </row>
    <row r="39" spans="2:9" x14ac:dyDescent="0.3">
      <c r="B39" t="s">
        <v>481</v>
      </c>
      <c r="C39" s="74">
        <v>46065</v>
      </c>
      <c r="D39" s="100" t="s">
        <v>738</v>
      </c>
      <c r="E39" t="s">
        <v>421</v>
      </c>
      <c r="F39" t="s">
        <v>692</v>
      </c>
      <c r="G39" t="s">
        <v>739</v>
      </c>
      <c r="H39">
        <v>100</v>
      </c>
      <c r="I39">
        <v>72100.28</v>
      </c>
    </row>
    <row r="40" spans="2:9" x14ac:dyDescent="0.3">
      <c r="B40" t="s">
        <v>481</v>
      </c>
      <c r="C40" s="74">
        <v>46065</v>
      </c>
      <c r="D40">
        <v>2122026</v>
      </c>
      <c r="E40" t="s">
        <v>437</v>
      </c>
      <c r="F40" t="s">
        <v>485</v>
      </c>
      <c r="G40" t="s">
        <v>740</v>
      </c>
      <c r="H40">
        <v>740</v>
      </c>
      <c r="I40">
        <v>72840.28</v>
      </c>
    </row>
    <row r="41" spans="2:9" x14ac:dyDescent="0.3">
      <c r="B41" t="s">
        <v>481</v>
      </c>
      <c r="C41" s="74">
        <v>46065</v>
      </c>
      <c r="D41">
        <v>2122026</v>
      </c>
      <c r="E41" t="s">
        <v>421</v>
      </c>
      <c r="F41" t="s">
        <v>485</v>
      </c>
      <c r="G41" t="s">
        <v>741</v>
      </c>
      <c r="H41">
        <v>740</v>
      </c>
      <c r="I41">
        <v>73580.28</v>
      </c>
    </row>
    <row r="42" spans="2:9" x14ac:dyDescent="0.3">
      <c r="B42" t="s">
        <v>481</v>
      </c>
      <c r="C42" s="74">
        <v>46069</v>
      </c>
      <c r="D42">
        <v>408</v>
      </c>
      <c r="E42" t="s">
        <v>421</v>
      </c>
      <c r="F42" t="s">
        <v>652</v>
      </c>
      <c r="G42" t="s">
        <v>743</v>
      </c>
      <c r="H42">
        <v>600</v>
      </c>
      <c r="I42">
        <v>74180.28</v>
      </c>
    </row>
    <row r="43" spans="2:9" x14ac:dyDescent="0.3">
      <c r="B43" t="s">
        <v>481</v>
      </c>
      <c r="C43" s="74">
        <v>46070</v>
      </c>
      <c r="D43" t="s">
        <v>744</v>
      </c>
      <c r="E43" t="s">
        <v>421</v>
      </c>
      <c r="F43" t="s">
        <v>655</v>
      </c>
      <c r="G43" t="s">
        <v>745</v>
      </c>
      <c r="H43">
        <v>2242</v>
      </c>
      <c r="I43">
        <v>76422.28</v>
      </c>
    </row>
    <row r="44" spans="2:9" x14ac:dyDescent="0.3">
      <c r="B44" t="s">
        <v>481</v>
      </c>
      <c r="C44" s="74">
        <v>46071</v>
      </c>
      <c r="D44">
        <v>271</v>
      </c>
      <c r="E44" t="s">
        <v>421</v>
      </c>
      <c r="F44" t="s">
        <v>660</v>
      </c>
      <c r="G44" t="s">
        <v>746</v>
      </c>
      <c r="H44">
        <v>625</v>
      </c>
      <c r="I44">
        <v>77047.28</v>
      </c>
    </row>
    <row r="45" spans="2:9" x14ac:dyDescent="0.3">
      <c r="B45" t="s">
        <v>481</v>
      </c>
      <c r="C45" s="74">
        <v>46073</v>
      </c>
      <c r="D45">
        <v>2601</v>
      </c>
      <c r="E45" t="s">
        <v>421</v>
      </c>
      <c r="F45" t="s">
        <v>747</v>
      </c>
      <c r="G45" t="s">
        <v>748</v>
      </c>
      <c r="H45">
        <v>350</v>
      </c>
      <c r="I45">
        <v>77397.279999999999</v>
      </c>
    </row>
    <row r="46" spans="2:9" x14ac:dyDescent="0.3">
      <c r="B46" t="s">
        <v>481</v>
      </c>
      <c r="C46" s="74">
        <v>46082</v>
      </c>
      <c r="D46">
        <v>12330</v>
      </c>
      <c r="E46" t="s">
        <v>439</v>
      </c>
      <c r="F46" t="s">
        <v>491</v>
      </c>
      <c r="G46" t="s">
        <v>787</v>
      </c>
      <c r="H46">
        <v>360.1</v>
      </c>
      <c r="I46">
        <v>77757.38</v>
      </c>
    </row>
    <row r="47" spans="2:9" x14ac:dyDescent="0.3">
      <c r="B47" t="s">
        <v>481</v>
      </c>
      <c r="C47">
        <v>46082</v>
      </c>
      <c r="D47">
        <v>12297</v>
      </c>
      <c r="E47" t="s">
        <v>421</v>
      </c>
      <c r="F47" t="s">
        <v>491</v>
      </c>
      <c r="G47" t="s">
        <v>788</v>
      </c>
      <c r="H47">
        <v>1316.98</v>
      </c>
      <c r="I47">
        <v>79074.36</v>
      </c>
    </row>
    <row r="48" spans="2:9" x14ac:dyDescent="0.3">
      <c r="B48" t="s">
        <v>481</v>
      </c>
      <c r="C48">
        <v>46084</v>
      </c>
      <c r="D48">
        <v>447180</v>
      </c>
      <c r="E48" t="s">
        <v>437</v>
      </c>
      <c r="F48" t="s">
        <v>642</v>
      </c>
      <c r="G48" t="s">
        <v>789</v>
      </c>
      <c r="H48">
        <v>7.96</v>
      </c>
      <c r="I48">
        <v>79082.320000000007</v>
      </c>
    </row>
    <row r="49" spans="2:9" x14ac:dyDescent="0.3">
      <c r="B49" t="s">
        <v>481</v>
      </c>
      <c r="C49" s="74">
        <v>46084</v>
      </c>
      <c r="D49">
        <v>12441</v>
      </c>
      <c r="E49" t="s">
        <v>421</v>
      </c>
      <c r="F49" t="s">
        <v>491</v>
      </c>
      <c r="G49" t="s">
        <v>790</v>
      </c>
      <c r="H49">
        <v>559.36</v>
      </c>
      <c r="I49">
        <v>79641.679999999993</v>
      </c>
    </row>
    <row r="50" spans="2:9" x14ac:dyDescent="0.3">
      <c r="B50" t="s">
        <v>481</v>
      </c>
      <c r="C50">
        <v>46084</v>
      </c>
      <c r="D50">
        <v>12441</v>
      </c>
      <c r="E50" t="s">
        <v>421</v>
      </c>
      <c r="F50" t="s">
        <v>491</v>
      </c>
      <c r="G50" t="s">
        <v>791</v>
      </c>
      <c r="H50">
        <v>-34.14</v>
      </c>
      <c r="I50">
        <v>79607.539999999994</v>
      </c>
    </row>
    <row r="51" spans="2:9" x14ac:dyDescent="0.3">
      <c r="B51" t="s">
        <v>481</v>
      </c>
      <c r="C51">
        <v>46085</v>
      </c>
      <c r="D51" t="s">
        <v>792</v>
      </c>
      <c r="E51" t="s">
        <v>423</v>
      </c>
      <c r="F51" t="s">
        <v>793</v>
      </c>
      <c r="G51" t="s">
        <v>794</v>
      </c>
      <c r="H51">
        <v>650</v>
      </c>
      <c r="I51">
        <v>80257.539999999994</v>
      </c>
    </row>
    <row r="52" spans="2:9" x14ac:dyDescent="0.3">
      <c r="B52" t="s">
        <v>481</v>
      </c>
      <c r="C52" s="74">
        <v>46085</v>
      </c>
      <c r="D52" s="100">
        <v>12451</v>
      </c>
      <c r="E52" t="s">
        <v>437</v>
      </c>
      <c r="F52" t="s">
        <v>491</v>
      </c>
      <c r="G52" t="s">
        <v>795</v>
      </c>
      <c r="H52">
        <v>10221.290000000001</v>
      </c>
      <c r="I52">
        <v>90478.83</v>
      </c>
    </row>
    <row r="53" spans="2:9" x14ac:dyDescent="0.3">
      <c r="B53" t="s">
        <v>481</v>
      </c>
      <c r="C53" s="74">
        <v>46086</v>
      </c>
      <c r="D53" s="100" t="s">
        <v>796</v>
      </c>
      <c r="E53" t="s">
        <v>437</v>
      </c>
      <c r="F53" t="s">
        <v>734</v>
      </c>
      <c r="G53" t="s">
        <v>797</v>
      </c>
      <c r="H53">
        <v>1000</v>
      </c>
      <c r="I53">
        <v>91478.83</v>
      </c>
    </row>
    <row r="54" spans="2:9" x14ac:dyDescent="0.3">
      <c r="B54" t="s">
        <v>481</v>
      </c>
      <c r="C54" s="74">
        <v>46086</v>
      </c>
      <c r="D54">
        <v>447244</v>
      </c>
      <c r="E54" t="s">
        <v>437</v>
      </c>
      <c r="F54" t="s">
        <v>642</v>
      </c>
      <c r="G54" t="s">
        <v>798</v>
      </c>
      <c r="H54">
        <v>14.85</v>
      </c>
      <c r="I54">
        <v>91493.68</v>
      </c>
    </row>
    <row r="55" spans="2:9" x14ac:dyDescent="0.3">
      <c r="B55" t="s">
        <v>481</v>
      </c>
      <c r="C55" s="74">
        <v>46087</v>
      </c>
      <c r="D55">
        <v>45717</v>
      </c>
      <c r="E55" t="s">
        <v>421</v>
      </c>
      <c r="F55" t="s">
        <v>702</v>
      </c>
      <c r="G55" t="s">
        <v>799</v>
      </c>
      <c r="H55">
        <v>826.13</v>
      </c>
      <c r="I55">
        <v>92319.81</v>
      </c>
    </row>
    <row r="56" spans="2:9" x14ac:dyDescent="0.3">
      <c r="B56" t="s">
        <v>481</v>
      </c>
      <c r="C56" s="74">
        <v>46087</v>
      </c>
      <c r="D56">
        <v>45719</v>
      </c>
      <c r="E56" t="s">
        <v>421</v>
      </c>
      <c r="F56" t="s">
        <v>702</v>
      </c>
      <c r="G56" t="s">
        <v>800</v>
      </c>
      <c r="H56">
        <v>1932.57</v>
      </c>
      <c r="I56">
        <v>94252.38</v>
      </c>
    </row>
    <row r="57" spans="2:9" x14ac:dyDescent="0.3">
      <c r="B57" t="s">
        <v>483</v>
      </c>
      <c r="C57" s="74">
        <v>46087</v>
      </c>
      <c r="D57" t="s">
        <v>801</v>
      </c>
      <c r="E57" t="s">
        <v>421</v>
      </c>
      <c r="F57" t="s">
        <v>595</v>
      </c>
      <c r="G57" t="s">
        <v>802</v>
      </c>
      <c r="H57">
        <v>194.98</v>
      </c>
      <c r="I57">
        <v>94447.360000000001</v>
      </c>
    </row>
    <row r="58" spans="2:9" x14ac:dyDescent="0.3">
      <c r="B58" t="s">
        <v>483</v>
      </c>
      <c r="C58" s="74">
        <v>46090</v>
      </c>
      <c r="D58" t="s">
        <v>803</v>
      </c>
      <c r="E58" t="s">
        <v>421</v>
      </c>
      <c r="F58" t="s">
        <v>595</v>
      </c>
      <c r="G58" t="s">
        <v>804</v>
      </c>
      <c r="H58">
        <v>23.7</v>
      </c>
      <c r="I58">
        <v>94471.06</v>
      </c>
    </row>
    <row r="59" spans="2:9" x14ac:dyDescent="0.3">
      <c r="B59" t="s">
        <v>481</v>
      </c>
      <c r="C59" s="74">
        <v>46091</v>
      </c>
      <c r="D59">
        <v>3102026</v>
      </c>
      <c r="E59" t="s">
        <v>437</v>
      </c>
      <c r="F59" t="s">
        <v>485</v>
      </c>
      <c r="G59" t="s">
        <v>805</v>
      </c>
      <c r="H59">
        <v>2290</v>
      </c>
      <c r="I59">
        <v>96761.06</v>
      </c>
    </row>
    <row r="60" spans="2:9" x14ac:dyDescent="0.3">
      <c r="B60" t="s">
        <v>483</v>
      </c>
      <c r="C60" s="74">
        <v>46091</v>
      </c>
      <c r="D60" t="s">
        <v>806</v>
      </c>
      <c r="E60" t="s">
        <v>423</v>
      </c>
      <c r="F60" t="s">
        <v>595</v>
      </c>
      <c r="G60" t="s">
        <v>807</v>
      </c>
      <c r="H60">
        <v>35.97</v>
      </c>
      <c r="I60">
        <v>96797.03</v>
      </c>
    </row>
    <row r="61" spans="2:9" x14ac:dyDescent="0.3">
      <c r="B61" t="s">
        <v>481</v>
      </c>
      <c r="C61" s="74">
        <v>46092</v>
      </c>
      <c r="D61">
        <v>231259319</v>
      </c>
      <c r="E61" t="s">
        <v>437</v>
      </c>
      <c r="F61" t="s">
        <v>808</v>
      </c>
      <c r="G61" t="s">
        <v>809</v>
      </c>
      <c r="H61">
        <v>360</v>
      </c>
      <c r="I61">
        <v>97157.03</v>
      </c>
    </row>
    <row r="62" spans="2:9" x14ac:dyDescent="0.3">
      <c r="B62" t="s">
        <v>483</v>
      </c>
      <c r="C62" s="74">
        <v>46092</v>
      </c>
      <c r="D62" t="s">
        <v>810</v>
      </c>
      <c r="E62" t="s">
        <v>421</v>
      </c>
      <c r="F62" t="s">
        <v>782</v>
      </c>
      <c r="G62" t="s">
        <v>811</v>
      </c>
      <c r="H62">
        <v>602.12</v>
      </c>
      <c r="I62">
        <v>97759.15</v>
      </c>
    </row>
    <row r="63" spans="2:9" x14ac:dyDescent="0.3">
      <c r="B63" t="s">
        <v>481</v>
      </c>
      <c r="C63" s="74">
        <v>46093</v>
      </c>
      <c r="D63">
        <v>3122026</v>
      </c>
      <c r="E63" t="s">
        <v>437</v>
      </c>
      <c r="F63" t="s">
        <v>485</v>
      </c>
      <c r="G63" t="s">
        <v>812</v>
      </c>
      <c r="H63">
        <v>160</v>
      </c>
      <c r="I63">
        <v>97919.15</v>
      </c>
    </row>
    <row r="64" spans="2:9" x14ac:dyDescent="0.3">
      <c r="B64" t="s">
        <v>481</v>
      </c>
      <c r="C64" s="74">
        <v>46093</v>
      </c>
      <c r="D64" t="s">
        <v>813</v>
      </c>
      <c r="E64" t="s">
        <v>437</v>
      </c>
      <c r="F64" t="s">
        <v>734</v>
      </c>
      <c r="G64" t="s">
        <v>814</v>
      </c>
      <c r="H64">
        <v>500</v>
      </c>
      <c r="I64">
        <v>98419.15</v>
      </c>
    </row>
    <row r="65" spans="2:9" x14ac:dyDescent="0.3">
      <c r="B65" t="s">
        <v>481</v>
      </c>
      <c r="C65" s="74">
        <v>46093</v>
      </c>
      <c r="D65" t="s">
        <v>815</v>
      </c>
      <c r="E65" t="s">
        <v>437</v>
      </c>
      <c r="F65" t="s">
        <v>816</v>
      </c>
      <c r="G65" t="s">
        <v>817</v>
      </c>
      <c r="H65">
        <v>1196</v>
      </c>
      <c r="I65">
        <v>99615.15</v>
      </c>
    </row>
    <row r="66" spans="2:9" x14ac:dyDescent="0.3">
      <c r="B66" t="s">
        <v>483</v>
      </c>
      <c r="C66" s="74">
        <v>46093</v>
      </c>
      <c r="D66" t="s">
        <v>818</v>
      </c>
      <c r="E66" t="s">
        <v>421</v>
      </c>
      <c r="F66" t="s">
        <v>650</v>
      </c>
      <c r="G66" t="s">
        <v>819</v>
      </c>
      <c r="H66">
        <v>153.99</v>
      </c>
      <c r="I66">
        <v>99769.14</v>
      </c>
    </row>
    <row r="67" spans="2:9" x14ac:dyDescent="0.3">
      <c r="B67" t="s">
        <v>481</v>
      </c>
      <c r="C67" s="74">
        <v>46094</v>
      </c>
      <c r="D67" t="s">
        <v>820</v>
      </c>
      <c r="E67" t="s">
        <v>437</v>
      </c>
      <c r="F67" t="s">
        <v>658</v>
      </c>
      <c r="G67" t="s">
        <v>821</v>
      </c>
      <c r="H67">
        <v>375</v>
      </c>
      <c r="I67">
        <v>100144.14</v>
      </c>
    </row>
    <row r="68" spans="2:9" x14ac:dyDescent="0.3">
      <c r="B68" t="s">
        <v>481</v>
      </c>
      <c r="C68" s="74">
        <v>46094</v>
      </c>
      <c r="D68" t="s">
        <v>822</v>
      </c>
      <c r="E68" t="s">
        <v>437</v>
      </c>
      <c r="F68" t="s">
        <v>655</v>
      </c>
      <c r="G68" t="s">
        <v>823</v>
      </c>
      <c r="H68">
        <v>3544</v>
      </c>
      <c r="I68">
        <v>103688.14</v>
      </c>
    </row>
    <row r="69" spans="2:9" x14ac:dyDescent="0.3">
      <c r="B69" t="s">
        <v>481</v>
      </c>
      <c r="C69" s="74">
        <v>46095</v>
      </c>
      <c r="D69">
        <v>411</v>
      </c>
      <c r="E69" t="s">
        <v>437</v>
      </c>
      <c r="F69" t="s">
        <v>652</v>
      </c>
      <c r="G69" t="s">
        <v>824</v>
      </c>
      <c r="H69">
        <v>475</v>
      </c>
      <c r="I69">
        <v>104163.14</v>
      </c>
    </row>
    <row r="70" spans="2:9" x14ac:dyDescent="0.3">
      <c r="B70" t="s">
        <v>481</v>
      </c>
      <c r="C70" s="74">
        <v>46095</v>
      </c>
      <c r="D70" s="100">
        <v>411</v>
      </c>
      <c r="E70" t="s">
        <v>437</v>
      </c>
      <c r="F70" t="s">
        <v>652</v>
      </c>
      <c r="G70" t="s">
        <v>825</v>
      </c>
      <c r="H70">
        <v>787.5</v>
      </c>
      <c r="I70">
        <v>104950.64</v>
      </c>
    </row>
    <row r="71" spans="2:9" x14ac:dyDescent="0.3">
      <c r="B71" t="s">
        <v>481</v>
      </c>
      <c r="C71" s="74">
        <v>46096</v>
      </c>
      <c r="D71">
        <v>386825</v>
      </c>
      <c r="E71" t="s">
        <v>437</v>
      </c>
      <c r="F71" t="s">
        <v>715</v>
      </c>
      <c r="G71" t="s">
        <v>826</v>
      </c>
      <c r="H71">
        <v>600</v>
      </c>
      <c r="I71">
        <v>105550.64</v>
      </c>
    </row>
    <row r="72" spans="2:9" x14ac:dyDescent="0.3">
      <c r="B72" t="s">
        <v>481</v>
      </c>
      <c r="C72">
        <v>46098</v>
      </c>
      <c r="D72" t="s">
        <v>827</v>
      </c>
      <c r="E72" t="s">
        <v>437</v>
      </c>
      <c r="F72" t="s">
        <v>828</v>
      </c>
      <c r="G72" t="s">
        <v>829</v>
      </c>
      <c r="H72">
        <v>750</v>
      </c>
      <c r="I72">
        <v>106300.64</v>
      </c>
    </row>
    <row r="73" spans="2:9" x14ac:dyDescent="0.3">
      <c r="B73" t="s">
        <v>481</v>
      </c>
      <c r="C73">
        <v>46098</v>
      </c>
      <c r="D73" t="s">
        <v>830</v>
      </c>
      <c r="E73" t="s">
        <v>437</v>
      </c>
      <c r="F73" t="s">
        <v>828</v>
      </c>
      <c r="G73" t="s">
        <v>831</v>
      </c>
      <c r="H73">
        <v>750</v>
      </c>
      <c r="I73">
        <v>107050.64</v>
      </c>
    </row>
    <row r="74" spans="2:9" x14ac:dyDescent="0.3">
      <c r="B74" t="s">
        <v>481</v>
      </c>
      <c r="C74" s="74">
        <v>46098</v>
      </c>
      <c r="D74" t="s">
        <v>832</v>
      </c>
      <c r="E74" t="s">
        <v>421</v>
      </c>
      <c r="F74" t="s">
        <v>833</v>
      </c>
      <c r="G74" t="s">
        <v>834</v>
      </c>
      <c r="H74">
        <v>49.1</v>
      </c>
      <c r="I74">
        <v>107099.74</v>
      </c>
    </row>
    <row r="75" spans="2:9" x14ac:dyDescent="0.3">
      <c r="B75" t="s">
        <v>481</v>
      </c>
      <c r="C75">
        <v>46098</v>
      </c>
      <c r="D75" t="s">
        <v>835</v>
      </c>
      <c r="E75" t="s">
        <v>421</v>
      </c>
      <c r="F75" t="s">
        <v>836</v>
      </c>
      <c r="G75" t="s">
        <v>837</v>
      </c>
      <c r="H75">
        <v>841</v>
      </c>
      <c r="I75">
        <v>107940.74</v>
      </c>
    </row>
    <row r="76" spans="2:9" x14ac:dyDescent="0.3">
      <c r="B76" t="s">
        <v>481</v>
      </c>
      <c r="C76">
        <v>46099</v>
      </c>
      <c r="D76">
        <v>447534</v>
      </c>
      <c r="E76" t="s">
        <v>437</v>
      </c>
      <c r="F76" t="s">
        <v>642</v>
      </c>
      <c r="G76" t="s">
        <v>838</v>
      </c>
      <c r="H76">
        <v>17.940000000000001</v>
      </c>
      <c r="I76">
        <v>107958.68</v>
      </c>
    </row>
    <row r="77" spans="2:9" x14ac:dyDescent="0.3">
      <c r="B77" t="s">
        <v>481</v>
      </c>
      <c r="C77" s="74">
        <v>46099</v>
      </c>
      <c r="D77">
        <v>12483</v>
      </c>
      <c r="E77" t="s">
        <v>437</v>
      </c>
      <c r="F77" t="s">
        <v>491</v>
      </c>
      <c r="G77" t="s">
        <v>839</v>
      </c>
      <c r="H77">
        <v>4049.85</v>
      </c>
      <c r="I77">
        <v>112008.53</v>
      </c>
    </row>
    <row r="78" spans="2:9" x14ac:dyDescent="0.3">
      <c r="B78" t="s">
        <v>481</v>
      </c>
      <c r="C78" s="74">
        <v>46100</v>
      </c>
      <c r="D78" t="s">
        <v>840</v>
      </c>
      <c r="E78" t="s">
        <v>437</v>
      </c>
      <c r="F78" t="s">
        <v>692</v>
      </c>
      <c r="G78" t="s">
        <v>841</v>
      </c>
      <c r="H78">
        <v>300</v>
      </c>
      <c r="I78">
        <v>112308.53</v>
      </c>
    </row>
    <row r="79" spans="2:9" x14ac:dyDescent="0.3">
      <c r="B79" t="s">
        <v>481</v>
      </c>
      <c r="C79" s="74">
        <v>46101</v>
      </c>
      <c r="D79">
        <v>3202026</v>
      </c>
      <c r="E79" t="s">
        <v>437</v>
      </c>
      <c r="F79" t="s">
        <v>485</v>
      </c>
      <c r="G79" t="s">
        <v>842</v>
      </c>
      <c r="H79">
        <v>1450</v>
      </c>
      <c r="I79">
        <v>113758.53</v>
      </c>
    </row>
    <row r="80" spans="2:9" x14ac:dyDescent="0.3">
      <c r="B80" t="s">
        <v>483</v>
      </c>
      <c r="C80">
        <v>46101</v>
      </c>
      <c r="D80" t="s">
        <v>843</v>
      </c>
      <c r="E80" t="s">
        <v>421</v>
      </c>
      <c r="F80" t="s">
        <v>844</v>
      </c>
      <c r="G80" t="s">
        <v>845</v>
      </c>
      <c r="H80">
        <v>158.52000000000001</v>
      </c>
      <c r="I80">
        <v>113917.05</v>
      </c>
    </row>
    <row r="81" spans="2:9" x14ac:dyDescent="0.3">
      <c r="B81" t="s">
        <v>481</v>
      </c>
      <c r="C81">
        <v>46104</v>
      </c>
      <c r="D81">
        <v>447609</v>
      </c>
      <c r="E81" t="s">
        <v>421</v>
      </c>
      <c r="F81" t="s">
        <v>642</v>
      </c>
      <c r="G81" t="s">
        <v>846</v>
      </c>
      <c r="H81">
        <v>49</v>
      </c>
      <c r="I81">
        <v>113966.05</v>
      </c>
    </row>
    <row r="82" spans="2:9" x14ac:dyDescent="0.3">
      <c r="B82" t="s">
        <v>481</v>
      </c>
      <c r="C82" s="74">
        <v>46105</v>
      </c>
      <c r="D82">
        <v>413</v>
      </c>
      <c r="E82" t="s">
        <v>437</v>
      </c>
      <c r="F82" t="s">
        <v>652</v>
      </c>
      <c r="G82" t="s">
        <v>847</v>
      </c>
      <c r="H82">
        <v>625</v>
      </c>
      <c r="I82">
        <v>114591.05</v>
      </c>
    </row>
    <row r="83" spans="2:9" x14ac:dyDescent="0.3">
      <c r="B83" t="s">
        <v>481</v>
      </c>
      <c r="C83" s="74">
        <v>46105</v>
      </c>
      <c r="D83">
        <v>447636</v>
      </c>
      <c r="E83" t="s">
        <v>421</v>
      </c>
      <c r="F83" t="s">
        <v>642</v>
      </c>
      <c r="G83" t="s">
        <v>848</v>
      </c>
      <c r="H83">
        <v>151.97999999999999</v>
      </c>
      <c r="I83">
        <v>114743.03</v>
      </c>
    </row>
    <row r="84" spans="2:9" x14ac:dyDescent="0.3">
      <c r="B84" t="s">
        <v>483</v>
      </c>
      <c r="C84" s="74">
        <v>46105</v>
      </c>
      <c r="D84" t="s">
        <v>849</v>
      </c>
      <c r="E84" t="s">
        <v>423</v>
      </c>
      <c r="F84" t="s">
        <v>595</v>
      </c>
      <c r="G84" t="s">
        <v>850</v>
      </c>
      <c r="H84">
        <v>199.16</v>
      </c>
      <c r="I84">
        <v>114942.19</v>
      </c>
    </row>
    <row r="85" spans="2:9" x14ac:dyDescent="0.3">
      <c r="B85" t="s">
        <v>483</v>
      </c>
      <c r="C85">
        <v>46105</v>
      </c>
      <c r="D85" t="s">
        <v>851</v>
      </c>
      <c r="E85" t="s">
        <v>423</v>
      </c>
      <c r="F85" t="s">
        <v>595</v>
      </c>
      <c r="G85" t="s">
        <v>852</v>
      </c>
      <c r="H85">
        <v>28.98</v>
      </c>
      <c r="I85">
        <v>114971.17</v>
      </c>
    </row>
    <row r="86" spans="2:9" x14ac:dyDescent="0.3">
      <c r="B86" t="s">
        <v>481</v>
      </c>
      <c r="C86">
        <v>46107</v>
      </c>
      <c r="D86" t="s">
        <v>853</v>
      </c>
      <c r="E86" t="s">
        <v>437</v>
      </c>
      <c r="F86" t="s">
        <v>793</v>
      </c>
      <c r="G86" t="s">
        <v>854</v>
      </c>
      <c r="H86">
        <v>400</v>
      </c>
      <c r="I86">
        <v>115371.17</v>
      </c>
    </row>
    <row r="87" spans="2:9" x14ac:dyDescent="0.3">
      <c r="B87" t="s">
        <v>481</v>
      </c>
      <c r="C87">
        <v>46107</v>
      </c>
      <c r="D87" t="s">
        <v>855</v>
      </c>
      <c r="E87" t="s">
        <v>437</v>
      </c>
      <c r="F87" t="s">
        <v>856</v>
      </c>
      <c r="G87" t="s">
        <v>857</v>
      </c>
      <c r="H87">
        <v>59.03</v>
      </c>
      <c r="I87">
        <v>115430.2</v>
      </c>
    </row>
    <row r="88" spans="2:9" x14ac:dyDescent="0.3">
      <c r="B88" t="s">
        <v>481</v>
      </c>
      <c r="C88">
        <v>46107</v>
      </c>
      <c r="D88">
        <v>20261</v>
      </c>
      <c r="E88" t="s">
        <v>437</v>
      </c>
      <c r="F88" t="s">
        <v>858</v>
      </c>
      <c r="G88" t="s">
        <v>859</v>
      </c>
      <c r="H88">
        <v>216</v>
      </c>
      <c r="I88">
        <v>115646.2</v>
      </c>
    </row>
    <row r="89" spans="2:9" x14ac:dyDescent="0.3">
      <c r="B89" t="s">
        <v>481</v>
      </c>
      <c r="C89">
        <v>46107</v>
      </c>
      <c r="D89">
        <v>20261</v>
      </c>
      <c r="E89" t="s">
        <v>437</v>
      </c>
      <c r="F89" t="s">
        <v>858</v>
      </c>
      <c r="G89" t="s">
        <v>860</v>
      </c>
      <c r="H89">
        <v>126</v>
      </c>
      <c r="I89">
        <v>115772.2</v>
      </c>
    </row>
    <row r="90" spans="2:9" x14ac:dyDescent="0.3">
      <c r="B90" t="s">
        <v>481</v>
      </c>
      <c r="C90">
        <v>46107</v>
      </c>
      <c r="D90">
        <v>20261</v>
      </c>
      <c r="E90" t="s">
        <v>437</v>
      </c>
      <c r="F90" t="s">
        <v>858</v>
      </c>
      <c r="G90" t="s">
        <v>861</v>
      </c>
      <c r="H90">
        <v>306</v>
      </c>
      <c r="I90">
        <v>116078.2</v>
      </c>
    </row>
    <row r="91" spans="2:9" x14ac:dyDescent="0.3">
      <c r="B91" t="s">
        <v>481</v>
      </c>
      <c r="C91" s="74">
        <v>46107</v>
      </c>
      <c r="D91">
        <v>275</v>
      </c>
      <c r="E91" t="s">
        <v>437</v>
      </c>
      <c r="F91" t="s">
        <v>660</v>
      </c>
      <c r="G91" t="s">
        <v>862</v>
      </c>
      <c r="H91">
        <v>500</v>
      </c>
      <c r="I91">
        <v>116578.2</v>
      </c>
    </row>
    <row r="92" spans="2:9" x14ac:dyDescent="0.3">
      <c r="B92" t="s">
        <v>481</v>
      </c>
      <c r="C92" s="74">
        <v>46107</v>
      </c>
      <c r="D92">
        <v>275</v>
      </c>
      <c r="E92" t="s">
        <v>437</v>
      </c>
      <c r="F92" t="s">
        <v>660</v>
      </c>
      <c r="G92" t="s">
        <v>863</v>
      </c>
      <c r="H92">
        <v>463.75</v>
      </c>
      <c r="I92">
        <v>117041.95</v>
      </c>
    </row>
    <row r="93" spans="2:9" x14ac:dyDescent="0.3">
      <c r="B93" t="s">
        <v>481</v>
      </c>
      <c r="C93" s="74">
        <v>46107</v>
      </c>
      <c r="D93" t="s">
        <v>864</v>
      </c>
      <c r="E93" t="s">
        <v>421</v>
      </c>
      <c r="F93" t="s">
        <v>598</v>
      </c>
      <c r="G93" t="s">
        <v>865</v>
      </c>
      <c r="H93">
        <v>2036</v>
      </c>
      <c r="I93">
        <v>119077.95</v>
      </c>
    </row>
    <row r="94" spans="2:9" x14ac:dyDescent="0.3">
      <c r="B94" t="s">
        <v>481</v>
      </c>
      <c r="C94">
        <v>46108</v>
      </c>
      <c r="D94">
        <v>12499</v>
      </c>
      <c r="E94" t="s">
        <v>421</v>
      </c>
      <c r="F94" t="s">
        <v>491</v>
      </c>
      <c r="G94" t="s">
        <v>866</v>
      </c>
      <c r="H94">
        <v>1101.52</v>
      </c>
      <c r="I94">
        <v>120179.47</v>
      </c>
    </row>
    <row r="95" spans="2:9" x14ac:dyDescent="0.3">
      <c r="B95" t="s">
        <v>481</v>
      </c>
      <c r="C95">
        <v>46109</v>
      </c>
      <c r="D95">
        <v>3292617</v>
      </c>
      <c r="E95" t="s">
        <v>421</v>
      </c>
      <c r="F95" t="s">
        <v>509</v>
      </c>
      <c r="G95" t="s">
        <v>867</v>
      </c>
      <c r="H95">
        <v>250</v>
      </c>
      <c r="I95">
        <v>120429.47</v>
      </c>
    </row>
    <row r="96" spans="2:9" x14ac:dyDescent="0.3">
      <c r="B96" t="s">
        <v>481</v>
      </c>
      <c r="C96">
        <v>46109</v>
      </c>
      <c r="D96" t="s">
        <v>868</v>
      </c>
      <c r="E96" t="s">
        <v>421</v>
      </c>
      <c r="F96" t="s">
        <v>869</v>
      </c>
      <c r="G96" t="s">
        <v>870</v>
      </c>
      <c r="H96">
        <v>1112.74</v>
      </c>
      <c r="I96">
        <v>121542.21</v>
      </c>
    </row>
    <row r="97" spans="1:9" x14ac:dyDescent="0.3">
      <c r="B97" t="s">
        <v>483</v>
      </c>
      <c r="C97">
        <v>46110</v>
      </c>
      <c r="D97" t="s">
        <v>871</v>
      </c>
      <c r="E97" t="s">
        <v>421</v>
      </c>
      <c r="F97" t="s">
        <v>872</v>
      </c>
      <c r="G97" t="s">
        <v>873</v>
      </c>
      <c r="H97">
        <v>169.06</v>
      </c>
      <c r="I97">
        <v>121711.27</v>
      </c>
    </row>
    <row r="98" spans="1:9" x14ac:dyDescent="0.3">
      <c r="B98" t="s">
        <v>483</v>
      </c>
      <c r="C98" s="74">
        <v>46110</v>
      </c>
      <c r="D98" t="s">
        <v>874</v>
      </c>
      <c r="E98" t="s">
        <v>421</v>
      </c>
      <c r="F98" t="s">
        <v>557</v>
      </c>
      <c r="G98" t="s">
        <v>875</v>
      </c>
      <c r="H98">
        <v>49.44</v>
      </c>
      <c r="I98">
        <v>121760.71</v>
      </c>
    </row>
    <row r="99" spans="1:9" x14ac:dyDescent="0.3">
      <c r="B99" t="s">
        <v>481</v>
      </c>
      <c r="C99" s="74">
        <v>46111</v>
      </c>
      <c r="D99" t="s">
        <v>876</v>
      </c>
      <c r="E99" t="s">
        <v>421</v>
      </c>
      <c r="F99" t="s">
        <v>877</v>
      </c>
      <c r="G99" t="s">
        <v>878</v>
      </c>
      <c r="H99">
        <v>850</v>
      </c>
      <c r="I99">
        <v>122610.71</v>
      </c>
    </row>
    <row r="100" spans="1:9" x14ac:dyDescent="0.3">
      <c r="B100" t="s">
        <v>481</v>
      </c>
      <c r="C100" s="74">
        <v>46111</v>
      </c>
      <c r="D100">
        <v>20260329</v>
      </c>
      <c r="E100" t="s">
        <v>421</v>
      </c>
      <c r="F100" t="s">
        <v>543</v>
      </c>
      <c r="G100" t="s">
        <v>879</v>
      </c>
      <c r="H100">
        <v>1200</v>
      </c>
      <c r="I100">
        <v>123810.71</v>
      </c>
    </row>
    <row r="101" spans="1:9" x14ac:dyDescent="0.3">
      <c r="B101" t="s">
        <v>481</v>
      </c>
      <c r="C101" s="74">
        <v>46112</v>
      </c>
      <c r="D101" t="s">
        <v>880</v>
      </c>
      <c r="E101" t="s">
        <v>421</v>
      </c>
      <c r="F101" t="s">
        <v>667</v>
      </c>
      <c r="G101" t="s">
        <v>881</v>
      </c>
      <c r="H101">
        <v>300</v>
      </c>
      <c r="I101">
        <v>124110.71</v>
      </c>
    </row>
    <row r="102" spans="1:9" x14ac:dyDescent="0.3">
      <c r="B102" t="s">
        <v>481</v>
      </c>
      <c r="C102" s="74">
        <v>46112</v>
      </c>
      <c r="D102">
        <v>414</v>
      </c>
      <c r="E102" t="s">
        <v>421</v>
      </c>
      <c r="F102" t="s">
        <v>652</v>
      </c>
      <c r="G102" t="s">
        <v>882</v>
      </c>
      <c r="H102">
        <v>337.5</v>
      </c>
      <c r="I102">
        <v>124448.21</v>
      </c>
    </row>
    <row r="103" spans="1:9" x14ac:dyDescent="0.3">
      <c r="B103" t="s">
        <v>481</v>
      </c>
      <c r="C103" s="74">
        <v>46112</v>
      </c>
      <c r="D103">
        <v>45727</v>
      </c>
      <c r="E103" t="s">
        <v>437</v>
      </c>
      <c r="F103" t="s">
        <v>702</v>
      </c>
      <c r="G103" t="s">
        <v>883</v>
      </c>
      <c r="H103">
        <v>2305.09</v>
      </c>
      <c r="I103">
        <v>126753.3</v>
      </c>
    </row>
    <row r="104" spans="1:9" x14ac:dyDescent="0.3">
      <c r="A104" t="s">
        <v>484</v>
      </c>
      <c r="C104" s="74"/>
      <c r="H104">
        <v>126753.3</v>
      </c>
      <c r="I104">
        <v>126753.3</v>
      </c>
    </row>
    <row r="105" spans="1:9" x14ac:dyDescent="0.3">
      <c r="A105" t="s">
        <v>121</v>
      </c>
      <c r="C105" s="74"/>
    </row>
    <row r="106" spans="1:9" x14ac:dyDescent="0.3">
      <c r="B106" t="s">
        <v>481</v>
      </c>
      <c r="C106" s="74">
        <v>46035</v>
      </c>
      <c r="D106" t="s">
        <v>709</v>
      </c>
      <c r="E106" t="s">
        <v>421</v>
      </c>
      <c r="F106" t="s">
        <v>710</v>
      </c>
      <c r="G106" t="s">
        <v>711</v>
      </c>
      <c r="H106">
        <v>222.39</v>
      </c>
      <c r="I106">
        <v>222.39</v>
      </c>
    </row>
    <row r="107" spans="1:9" x14ac:dyDescent="0.3">
      <c r="A107" t="s">
        <v>712</v>
      </c>
      <c r="C107" s="74"/>
      <c r="H107">
        <v>222.39</v>
      </c>
      <c r="I107">
        <v>222.39</v>
      </c>
    </row>
    <row r="108" spans="1:9" x14ac:dyDescent="0.3">
      <c r="A108" t="s">
        <v>140</v>
      </c>
      <c r="C108" s="74"/>
    </row>
    <row r="109" spans="1:9" x14ac:dyDescent="0.3">
      <c r="B109" t="s">
        <v>481</v>
      </c>
      <c r="C109" s="74">
        <v>45940</v>
      </c>
      <c r="D109" t="s">
        <v>609</v>
      </c>
      <c r="E109" t="s">
        <v>423</v>
      </c>
      <c r="F109" t="s">
        <v>543</v>
      </c>
      <c r="G109" t="s">
        <v>610</v>
      </c>
      <c r="H109">
        <v>600</v>
      </c>
      <c r="I109">
        <v>600</v>
      </c>
    </row>
    <row r="110" spans="1:9" x14ac:dyDescent="0.3">
      <c r="B110" t="s">
        <v>481</v>
      </c>
      <c r="C110" s="74">
        <v>45940</v>
      </c>
      <c r="D110" t="s">
        <v>611</v>
      </c>
      <c r="E110" t="s">
        <v>423</v>
      </c>
      <c r="F110" t="s">
        <v>543</v>
      </c>
      <c r="G110" t="s">
        <v>612</v>
      </c>
      <c r="H110">
        <v>600</v>
      </c>
      <c r="I110">
        <v>1200</v>
      </c>
    </row>
    <row r="111" spans="1:9" x14ac:dyDescent="0.3">
      <c r="B111" t="s">
        <v>481</v>
      </c>
      <c r="C111" s="74">
        <v>45940</v>
      </c>
      <c r="D111">
        <v>3.25</v>
      </c>
      <c r="E111" t="s">
        <v>441</v>
      </c>
      <c r="F111" t="s">
        <v>514</v>
      </c>
      <c r="G111" t="s">
        <v>613</v>
      </c>
      <c r="H111">
        <v>175</v>
      </c>
      <c r="I111">
        <v>1375</v>
      </c>
    </row>
    <row r="112" spans="1:9" x14ac:dyDescent="0.3">
      <c r="B112" t="s">
        <v>483</v>
      </c>
      <c r="C112" s="74">
        <v>45946</v>
      </c>
      <c r="D112" t="s">
        <v>614</v>
      </c>
      <c r="E112" t="s">
        <v>423</v>
      </c>
      <c r="F112" t="s">
        <v>828</v>
      </c>
      <c r="G112" t="s">
        <v>615</v>
      </c>
      <c r="H112">
        <v>720</v>
      </c>
      <c r="I112">
        <v>2095</v>
      </c>
    </row>
    <row r="113" spans="2:9" x14ac:dyDescent="0.3">
      <c r="B113" t="s">
        <v>483</v>
      </c>
      <c r="C113" s="74">
        <v>45949</v>
      </c>
      <c r="D113" t="s">
        <v>616</v>
      </c>
      <c r="E113" t="s">
        <v>423</v>
      </c>
      <c r="F113" t="s">
        <v>486</v>
      </c>
      <c r="G113" t="s">
        <v>615</v>
      </c>
      <c r="H113">
        <v>1950.9</v>
      </c>
      <c r="I113">
        <v>4045.9</v>
      </c>
    </row>
    <row r="114" spans="2:9" x14ac:dyDescent="0.3">
      <c r="B114" t="s">
        <v>483</v>
      </c>
      <c r="C114" s="74">
        <v>45950</v>
      </c>
      <c r="D114" t="s">
        <v>617</v>
      </c>
      <c r="E114" t="s">
        <v>411</v>
      </c>
      <c r="F114" t="s">
        <v>557</v>
      </c>
      <c r="G114" t="s">
        <v>615</v>
      </c>
      <c r="H114">
        <v>40.14</v>
      </c>
      <c r="I114">
        <v>4086.04</v>
      </c>
    </row>
    <row r="115" spans="2:9" x14ac:dyDescent="0.3">
      <c r="B115" t="s">
        <v>481</v>
      </c>
      <c r="C115" s="74">
        <v>45961</v>
      </c>
      <c r="D115" t="s">
        <v>618</v>
      </c>
      <c r="E115" t="s">
        <v>441</v>
      </c>
      <c r="F115" t="s">
        <v>487</v>
      </c>
      <c r="G115" t="s">
        <v>619</v>
      </c>
      <c r="H115">
        <v>1575</v>
      </c>
      <c r="I115">
        <v>5661.04</v>
      </c>
    </row>
    <row r="116" spans="2:9" x14ac:dyDescent="0.3">
      <c r="B116" t="s">
        <v>551</v>
      </c>
      <c r="C116" s="74">
        <v>45963</v>
      </c>
      <c r="D116" t="s">
        <v>620</v>
      </c>
      <c r="E116" t="s">
        <v>411</v>
      </c>
      <c r="F116" t="s">
        <v>557</v>
      </c>
      <c r="G116" t="s">
        <v>621</v>
      </c>
      <c r="H116">
        <v>-40.14</v>
      </c>
      <c r="I116">
        <v>5620.9</v>
      </c>
    </row>
    <row r="117" spans="2:9" x14ac:dyDescent="0.3">
      <c r="B117" t="s">
        <v>481</v>
      </c>
      <c r="C117" s="74">
        <v>45974</v>
      </c>
      <c r="D117" t="s">
        <v>622</v>
      </c>
      <c r="E117" t="s">
        <v>423</v>
      </c>
      <c r="F117" t="s">
        <v>543</v>
      </c>
      <c r="G117" t="s">
        <v>623</v>
      </c>
      <c r="H117">
        <v>600</v>
      </c>
      <c r="I117">
        <v>6220.9</v>
      </c>
    </row>
    <row r="118" spans="2:9" x14ac:dyDescent="0.3">
      <c r="B118" t="s">
        <v>481</v>
      </c>
      <c r="C118" s="74">
        <v>45991</v>
      </c>
      <c r="D118" t="s">
        <v>624</v>
      </c>
      <c r="E118" t="s">
        <v>441</v>
      </c>
      <c r="F118" t="s">
        <v>487</v>
      </c>
      <c r="G118" t="s">
        <v>625</v>
      </c>
      <c r="H118">
        <v>1400</v>
      </c>
      <c r="I118">
        <v>7620.9</v>
      </c>
    </row>
    <row r="119" spans="2:9" x14ac:dyDescent="0.3">
      <c r="B119" t="s">
        <v>481</v>
      </c>
      <c r="C119" s="74">
        <v>45992</v>
      </c>
      <c r="D119">
        <v>12005</v>
      </c>
      <c r="E119" t="s">
        <v>431</v>
      </c>
      <c r="F119" t="s">
        <v>491</v>
      </c>
      <c r="G119" t="s">
        <v>662</v>
      </c>
      <c r="H119">
        <v>503.52</v>
      </c>
      <c r="I119">
        <v>8124.42</v>
      </c>
    </row>
    <row r="120" spans="2:9" x14ac:dyDescent="0.3">
      <c r="B120" t="s">
        <v>481</v>
      </c>
      <c r="C120" s="74">
        <v>45996</v>
      </c>
      <c r="D120">
        <v>4.25</v>
      </c>
      <c r="E120" t="s">
        <v>441</v>
      </c>
      <c r="F120" t="s">
        <v>514</v>
      </c>
      <c r="G120" t="s">
        <v>663</v>
      </c>
      <c r="H120">
        <v>175</v>
      </c>
      <c r="I120">
        <v>8299.42</v>
      </c>
    </row>
    <row r="121" spans="2:9" x14ac:dyDescent="0.3">
      <c r="B121" t="s">
        <v>481</v>
      </c>
      <c r="C121" s="74">
        <v>46000</v>
      </c>
      <c r="D121">
        <v>1.26</v>
      </c>
      <c r="E121" t="s">
        <v>441</v>
      </c>
      <c r="F121" t="s">
        <v>514</v>
      </c>
      <c r="G121" t="s">
        <v>663</v>
      </c>
      <c r="H121">
        <v>350</v>
      </c>
      <c r="I121">
        <v>8649.42</v>
      </c>
    </row>
    <row r="122" spans="2:9" x14ac:dyDescent="0.3">
      <c r="B122" t="s">
        <v>481</v>
      </c>
      <c r="C122" s="74">
        <v>46010</v>
      </c>
      <c r="D122" t="s">
        <v>664</v>
      </c>
      <c r="E122" t="s">
        <v>441</v>
      </c>
      <c r="F122" t="s">
        <v>487</v>
      </c>
      <c r="G122" t="s">
        <v>665</v>
      </c>
      <c r="H122">
        <v>875</v>
      </c>
      <c r="I122">
        <v>9524.42</v>
      </c>
    </row>
    <row r="123" spans="2:9" x14ac:dyDescent="0.3">
      <c r="B123" t="s">
        <v>481</v>
      </c>
      <c r="C123" s="74">
        <v>46030</v>
      </c>
      <c r="D123" t="s">
        <v>713</v>
      </c>
      <c r="E123" t="s">
        <v>423</v>
      </c>
      <c r="F123" t="s">
        <v>667</v>
      </c>
      <c r="G123" t="s">
        <v>714</v>
      </c>
      <c r="H123">
        <v>300</v>
      </c>
      <c r="I123">
        <v>9824.42</v>
      </c>
    </row>
    <row r="124" spans="2:9" x14ac:dyDescent="0.3">
      <c r="B124" t="s">
        <v>481</v>
      </c>
      <c r="C124" s="74">
        <v>46035</v>
      </c>
      <c r="D124">
        <v>386821</v>
      </c>
      <c r="E124" t="s">
        <v>411</v>
      </c>
      <c r="F124" t="s">
        <v>715</v>
      </c>
      <c r="G124" t="s">
        <v>716</v>
      </c>
      <c r="H124">
        <v>900</v>
      </c>
      <c r="I124">
        <v>10724.42</v>
      </c>
    </row>
    <row r="125" spans="2:9" x14ac:dyDescent="0.3">
      <c r="B125" t="s">
        <v>481</v>
      </c>
      <c r="C125" s="74">
        <v>46036</v>
      </c>
      <c r="D125" t="s">
        <v>717</v>
      </c>
      <c r="E125" t="s">
        <v>423</v>
      </c>
      <c r="F125" t="s">
        <v>667</v>
      </c>
      <c r="G125" t="s">
        <v>718</v>
      </c>
      <c r="H125">
        <v>800</v>
      </c>
      <c r="I125">
        <v>11524.42</v>
      </c>
    </row>
    <row r="126" spans="2:9" x14ac:dyDescent="0.3">
      <c r="B126" t="s">
        <v>481</v>
      </c>
      <c r="C126" s="74">
        <v>46054</v>
      </c>
      <c r="D126" t="s">
        <v>749</v>
      </c>
      <c r="E126" t="s">
        <v>441</v>
      </c>
      <c r="F126" t="s">
        <v>487</v>
      </c>
      <c r="G126" t="s">
        <v>750</v>
      </c>
      <c r="H126">
        <v>1400</v>
      </c>
      <c r="I126">
        <v>12924.42</v>
      </c>
    </row>
    <row r="127" spans="2:9" x14ac:dyDescent="0.3">
      <c r="B127" t="s">
        <v>481</v>
      </c>
      <c r="C127" s="74">
        <v>46072</v>
      </c>
      <c r="D127" t="s">
        <v>751</v>
      </c>
      <c r="E127" t="s">
        <v>423</v>
      </c>
      <c r="F127" t="s">
        <v>667</v>
      </c>
      <c r="G127" t="s">
        <v>752</v>
      </c>
      <c r="H127">
        <v>600</v>
      </c>
      <c r="I127">
        <v>13524.42</v>
      </c>
    </row>
    <row r="128" spans="2:9" x14ac:dyDescent="0.3">
      <c r="B128" t="s">
        <v>481</v>
      </c>
      <c r="C128" s="74">
        <v>46080</v>
      </c>
      <c r="D128" t="s">
        <v>753</v>
      </c>
      <c r="E128" t="s">
        <v>441</v>
      </c>
      <c r="F128" t="s">
        <v>487</v>
      </c>
      <c r="G128" t="s">
        <v>754</v>
      </c>
      <c r="H128">
        <v>1400</v>
      </c>
      <c r="I128">
        <v>14924.42</v>
      </c>
    </row>
    <row r="129" spans="1:9" x14ac:dyDescent="0.3">
      <c r="B129" t="s">
        <v>481</v>
      </c>
      <c r="C129" s="74">
        <v>46083</v>
      </c>
      <c r="D129" t="s">
        <v>884</v>
      </c>
      <c r="E129" t="s">
        <v>423</v>
      </c>
      <c r="F129" t="s">
        <v>667</v>
      </c>
      <c r="G129" t="s">
        <v>885</v>
      </c>
      <c r="H129">
        <v>800</v>
      </c>
      <c r="I129">
        <v>15724.42</v>
      </c>
    </row>
    <row r="130" spans="1:9" x14ac:dyDescent="0.3">
      <c r="B130" t="s">
        <v>481</v>
      </c>
      <c r="C130">
        <v>46093</v>
      </c>
      <c r="D130">
        <v>12467</v>
      </c>
      <c r="E130" t="s">
        <v>421</v>
      </c>
      <c r="F130" t="s">
        <v>491</v>
      </c>
      <c r="G130" t="s">
        <v>886</v>
      </c>
      <c r="H130">
        <v>382.2</v>
      </c>
      <c r="I130">
        <v>16106.62</v>
      </c>
    </row>
    <row r="131" spans="1:9" x14ac:dyDescent="0.3">
      <c r="B131" t="s">
        <v>481</v>
      </c>
      <c r="C131">
        <v>46106</v>
      </c>
      <c r="D131" t="s">
        <v>887</v>
      </c>
      <c r="E131" t="s">
        <v>423</v>
      </c>
      <c r="F131" t="s">
        <v>667</v>
      </c>
      <c r="G131" t="s">
        <v>888</v>
      </c>
      <c r="H131">
        <v>800</v>
      </c>
      <c r="I131">
        <v>16906.62</v>
      </c>
    </row>
    <row r="132" spans="1:9" x14ac:dyDescent="0.3">
      <c r="B132" t="s">
        <v>481</v>
      </c>
      <c r="C132">
        <v>46112</v>
      </c>
      <c r="D132" t="s">
        <v>889</v>
      </c>
      <c r="E132" t="s">
        <v>441</v>
      </c>
      <c r="F132" t="s">
        <v>487</v>
      </c>
      <c r="G132" t="s">
        <v>890</v>
      </c>
      <c r="H132">
        <v>1400</v>
      </c>
      <c r="I132">
        <v>18306.62</v>
      </c>
    </row>
    <row r="133" spans="1:9" x14ac:dyDescent="0.3">
      <c r="A133" t="s">
        <v>488</v>
      </c>
      <c r="H133">
        <v>18306.62</v>
      </c>
      <c r="I133">
        <v>18306.62</v>
      </c>
    </row>
    <row r="134" spans="1:9" x14ac:dyDescent="0.3">
      <c r="A134" t="s">
        <v>137</v>
      </c>
    </row>
    <row r="135" spans="1:9" x14ac:dyDescent="0.3">
      <c r="B135" t="s">
        <v>481</v>
      </c>
      <c r="C135" s="74">
        <v>45994</v>
      </c>
      <c r="D135" t="s">
        <v>666</v>
      </c>
      <c r="E135" t="s">
        <v>423</v>
      </c>
      <c r="F135" t="s">
        <v>667</v>
      </c>
      <c r="G135" t="s">
        <v>668</v>
      </c>
      <c r="H135">
        <v>600</v>
      </c>
      <c r="I135">
        <v>600</v>
      </c>
    </row>
    <row r="136" spans="1:9" x14ac:dyDescent="0.3">
      <c r="A136" t="s">
        <v>669</v>
      </c>
      <c r="H136">
        <v>600</v>
      </c>
      <c r="I136">
        <v>600</v>
      </c>
    </row>
    <row r="137" spans="1:9" x14ac:dyDescent="0.3">
      <c r="A137" t="s">
        <v>286</v>
      </c>
    </row>
    <row r="138" spans="1:9" x14ac:dyDescent="0.3">
      <c r="B138" t="s">
        <v>481</v>
      </c>
      <c r="C138">
        <v>45972</v>
      </c>
      <c r="D138">
        <v>132469</v>
      </c>
      <c r="E138" t="s">
        <v>437</v>
      </c>
      <c r="F138" t="s">
        <v>515</v>
      </c>
      <c r="G138" t="s">
        <v>626</v>
      </c>
      <c r="H138">
        <v>222.5</v>
      </c>
      <c r="I138">
        <v>222.5</v>
      </c>
    </row>
    <row r="139" spans="1:9" x14ac:dyDescent="0.3">
      <c r="B139" t="s">
        <v>481</v>
      </c>
      <c r="C139">
        <v>45973</v>
      </c>
      <c r="D139">
        <v>132499</v>
      </c>
      <c r="E139" t="s">
        <v>437</v>
      </c>
      <c r="F139" t="s">
        <v>515</v>
      </c>
      <c r="G139" t="s">
        <v>627</v>
      </c>
      <c r="H139">
        <v>227.5</v>
      </c>
      <c r="I139">
        <v>450</v>
      </c>
    </row>
    <row r="140" spans="1:9" x14ac:dyDescent="0.3">
      <c r="B140" t="s">
        <v>481</v>
      </c>
      <c r="C140">
        <v>45992</v>
      </c>
      <c r="D140">
        <v>132540</v>
      </c>
      <c r="E140" t="s">
        <v>423</v>
      </c>
      <c r="F140" t="s">
        <v>515</v>
      </c>
      <c r="G140" t="s">
        <v>670</v>
      </c>
      <c r="H140">
        <v>205.5</v>
      </c>
      <c r="I140">
        <v>655.5</v>
      </c>
    </row>
    <row r="141" spans="1:9" x14ac:dyDescent="0.3">
      <c r="A141" t="s">
        <v>574</v>
      </c>
      <c r="H141">
        <v>655.5</v>
      </c>
      <c r="I141">
        <v>655.5</v>
      </c>
    </row>
    <row r="142" spans="1:9" x14ac:dyDescent="0.3">
      <c r="A142" t="s">
        <v>141</v>
      </c>
    </row>
    <row r="143" spans="1:9" x14ac:dyDescent="0.3">
      <c r="B143" t="s">
        <v>481</v>
      </c>
      <c r="C143">
        <v>45944</v>
      </c>
      <c r="D143">
        <v>2858</v>
      </c>
      <c r="E143" t="s">
        <v>439</v>
      </c>
      <c r="F143" t="s">
        <v>482</v>
      </c>
      <c r="G143" t="s">
        <v>628</v>
      </c>
      <c r="H143">
        <v>1100</v>
      </c>
      <c r="I143">
        <v>1100</v>
      </c>
    </row>
    <row r="144" spans="1:9" x14ac:dyDescent="0.3">
      <c r="B144" t="s">
        <v>481</v>
      </c>
      <c r="C144">
        <v>46053</v>
      </c>
      <c r="D144">
        <v>447</v>
      </c>
      <c r="E144" t="s">
        <v>437</v>
      </c>
      <c r="F144" t="s">
        <v>719</v>
      </c>
      <c r="G144" t="s">
        <v>720</v>
      </c>
      <c r="H144">
        <v>2900</v>
      </c>
      <c r="I144">
        <v>4000</v>
      </c>
    </row>
    <row r="145" spans="1:9" x14ac:dyDescent="0.3">
      <c r="B145" t="s">
        <v>481</v>
      </c>
      <c r="C145">
        <v>46055</v>
      </c>
      <c r="D145" t="s">
        <v>755</v>
      </c>
      <c r="E145" t="s">
        <v>437</v>
      </c>
      <c r="F145" t="s">
        <v>645</v>
      </c>
      <c r="G145" t="s">
        <v>756</v>
      </c>
      <c r="H145">
        <v>5000</v>
      </c>
      <c r="I145">
        <v>9000</v>
      </c>
    </row>
    <row r="146" spans="1:9" x14ac:dyDescent="0.3">
      <c r="B146" t="s">
        <v>481</v>
      </c>
      <c r="C146">
        <v>46112</v>
      </c>
      <c r="D146" t="s">
        <v>891</v>
      </c>
      <c r="E146" t="s">
        <v>421</v>
      </c>
      <c r="F146" t="s">
        <v>892</v>
      </c>
      <c r="G146" t="s">
        <v>893</v>
      </c>
      <c r="H146">
        <v>0</v>
      </c>
      <c r="I146">
        <v>9000</v>
      </c>
    </row>
    <row r="147" spans="1:9" x14ac:dyDescent="0.3">
      <c r="A147" t="s">
        <v>544</v>
      </c>
      <c r="H147">
        <v>9000</v>
      </c>
      <c r="I147">
        <v>9000</v>
      </c>
    </row>
    <row r="148" spans="1:9" x14ac:dyDescent="0.3">
      <c r="A148" t="s">
        <v>368</v>
      </c>
      <c r="H148">
        <v>155537.81</v>
      </c>
      <c r="I148">
        <v>155537.81</v>
      </c>
    </row>
    <row r="149" spans="1:9" x14ac:dyDescent="0.3">
      <c r="A149" t="s">
        <v>369</v>
      </c>
    </row>
    <row r="150" spans="1:9" x14ac:dyDescent="0.3">
      <c r="A150" t="s">
        <v>373</v>
      </c>
    </row>
    <row r="151" spans="1:9" x14ac:dyDescent="0.3">
      <c r="A151" t="s">
        <v>380</v>
      </c>
    </row>
    <row r="152" spans="1:9" x14ac:dyDescent="0.3">
      <c r="A152" t="s">
        <v>301</v>
      </c>
    </row>
    <row r="153" spans="1:9" x14ac:dyDescent="0.3">
      <c r="B153" t="s">
        <v>481</v>
      </c>
      <c r="C153">
        <v>45940</v>
      </c>
      <c r="D153">
        <v>132500</v>
      </c>
      <c r="E153" t="s">
        <v>444</v>
      </c>
      <c r="F153" t="s">
        <v>515</v>
      </c>
      <c r="G153" t="s">
        <v>629</v>
      </c>
      <c r="H153">
        <v>74.25</v>
      </c>
      <c r="I153">
        <v>74.25</v>
      </c>
    </row>
    <row r="154" spans="1:9" x14ac:dyDescent="0.3">
      <c r="B154" t="s">
        <v>481</v>
      </c>
      <c r="C154">
        <v>46074</v>
      </c>
      <c r="D154">
        <v>2212026</v>
      </c>
      <c r="E154" t="s">
        <v>462</v>
      </c>
      <c r="F154" t="s">
        <v>485</v>
      </c>
      <c r="G154" t="s">
        <v>757</v>
      </c>
      <c r="H154">
        <v>600</v>
      </c>
      <c r="I154">
        <v>674.25</v>
      </c>
    </row>
    <row r="155" spans="1:9" x14ac:dyDescent="0.3">
      <c r="B155" t="s">
        <v>481</v>
      </c>
      <c r="C155">
        <v>46076</v>
      </c>
      <c r="D155">
        <v>2232026</v>
      </c>
      <c r="E155" t="s">
        <v>462</v>
      </c>
      <c r="F155" t="s">
        <v>485</v>
      </c>
      <c r="G155" t="s">
        <v>758</v>
      </c>
      <c r="H155">
        <v>240</v>
      </c>
      <c r="I155">
        <v>914.25</v>
      </c>
    </row>
    <row r="156" spans="1:9" x14ac:dyDescent="0.3">
      <c r="B156" t="s">
        <v>481</v>
      </c>
      <c r="C156">
        <v>46082</v>
      </c>
      <c r="D156">
        <v>133364</v>
      </c>
      <c r="E156" t="s">
        <v>450</v>
      </c>
      <c r="F156" t="s">
        <v>515</v>
      </c>
      <c r="G156" t="s">
        <v>894</v>
      </c>
      <c r="H156">
        <v>403</v>
      </c>
      <c r="I156">
        <v>1317.25</v>
      </c>
    </row>
    <row r="157" spans="1:9" x14ac:dyDescent="0.3">
      <c r="A157" t="s">
        <v>575</v>
      </c>
      <c r="H157">
        <v>1317.25</v>
      </c>
      <c r="I157">
        <v>1317.25</v>
      </c>
    </row>
    <row r="158" spans="1:9" x14ac:dyDescent="0.3">
      <c r="A158" t="s">
        <v>381</v>
      </c>
      <c r="H158">
        <v>1317.25</v>
      </c>
      <c r="I158">
        <v>1317.25</v>
      </c>
    </row>
    <row r="159" spans="1:9" x14ac:dyDescent="0.3">
      <c r="A159" t="s">
        <v>382</v>
      </c>
    </row>
    <row r="160" spans="1:9" x14ac:dyDescent="0.3">
      <c r="A160" t="s">
        <v>302</v>
      </c>
    </row>
    <row r="161" spans="2:9" x14ac:dyDescent="0.3">
      <c r="B161" t="s">
        <v>481</v>
      </c>
      <c r="C161">
        <v>45931</v>
      </c>
      <c r="D161">
        <v>992025</v>
      </c>
      <c r="E161" t="s">
        <v>460</v>
      </c>
      <c r="F161" t="s">
        <v>485</v>
      </c>
      <c r="G161" t="s">
        <v>630</v>
      </c>
      <c r="H161">
        <v>990</v>
      </c>
      <c r="I161">
        <v>990</v>
      </c>
    </row>
    <row r="162" spans="2:9" x14ac:dyDescent="0.3">
      <c r="B162" t="s">
        <v>481</v>
      </c>
      <c r="C162">
        <v>45931</v>
      </c>
      <c r="D162">
        <v>18</v>
      </c>
      <c r="E162" t="s">
        <v>460</v>
      </c>
      <c r="F162" t="s">
        <v>492</v>
      </c>
      <c r="G162" t="s">
        <v>577</v>
      </c>
      <c r="H162">
        <v>2700</v>
      </c>
      <c r="I162">
        <v>3690</v>
      </c>
    </row>
    <row r="163" spans="2:9" x14ac:dyDescent="0.3">
      <c r="B163" t="s">
        <v>481</v>
      </c>
      <c r="C163">
        <v>45931</v>
      </c>
      <c r="D163">
        <v>1152</v>
      </c>
      <c r="E163" t="s">
        <v>460</v>
      </c>
      <c r="F163" t="s">
        <v>501</v>
      </c>
      <c r="G163" t="s">
        <v>631</v>
      </c>
      <c r="H163">
        <v>1500</v>
      </c>
      <c r="I163">
        <v>5190</v>
      </c>
    </row>
    <row r="164" spans="2:9" x14ac:dyDescent="0.3">
      <c r="B164" t="s">
        <v>483</v>
      </c>
      <c r="C164">
        <v>45987</v>
      </c>
      <c r="D164" t="s">
        <v>632</v>
      </c>
      <c r="E164" t="s">
        <v>468</v>
      </c>
      <c r="F164" t="s">
        <v>595</v>
      </c>
      <c r="G164" t="s">
        <v>633</v>
      </c>
      <c r="H164">
        <v>23.74</v>
      </c>
      <c r="I164">
        <v>5213.74</v>
      </c>
    </row>
    <row r="165" spans="2:9" x14ac:dyDescent="0.3">
      <c r="B165" t="s">
        <v>481</v>
      </c>
      <c r="C165">
        <v>45992</v>
      </c>
      <c r="D165">
        <v>1149481</v>
      </c>
      <c r="E165" t="s">
        <v>450</v>
      </c>
      <c r="F165" t="s">
        <v>500</v>
      </c>
      <c r="G165" t="s">
        <v>671</v>
      </c>
      <c r="H165">
        <v>1200</v>
      </c>
      <c r="I165">
        <v>6413.74</v>
      </c>
    </row>
    <row r="166" spans="2:9" x14ac:dyDescent="0.3">
      <c r="B166" t="s">
        <v>481</v>
      </c>
      <c r="C166">
        <v>45992</v>
      </c>
      <c r="D166">
        <v>20</v>
      </c>
      <c r="E166" t="s">
        <v>468</v>
      </c>
      <c r="F166" t="s">
        <v>492</v>
      </c>
      <c r="G166" t="s">
        <v>672</v>
      </c>
      <c r="H166">
        <v>1400</v>
      </c>
      <c r="I166">
        <v>7813.74</v>
      </c>
    </row>
    <row r="167" spans="2:9" x14ac:dyDescent="0.3">
      <c r="B167" t="s">
        <v>481</v>
      </c>
      <c r="C167">
        <v>45992</v>
      </c>
      <c r="D167">
        <v>132541</v>
      </c>
      <c r="E167" t="s">
        <v>446</v>
      </c>
      <c r="F167" t="s">
        <v>515</v>
      </c>
      <c r="G167" t="s">
        <v>673</v>
      </c>
      <c r="H167">
        <v>592.25</v>
      </c>
      <c r="I167">
        <v>8405.99</v>
      </c>
    </row>
    <row r="168" spans="2:9" x14ac:dyDescent="0.3">
      <c r="B168" t="s">
        <v>481</v>
      </c>
      <c r="C168">
        <v>45993</v>
      </c>
      <c r="D168">
        <v>3355</v>
      </c>
      <c r="E168" t="s">
        <v>468</v>
      </c>
      <c r="F168" t="s">
        <v>674</v>
      </c>
      <c r="G168" t="s">
        <v>675</v>
      </c>
      <c r="H168">
        <v>1600</v>
      </c>
      <c r="I168">
        <v>10005.99</v>
      </c>
    </row>
    <row r="169" spans="2:9" x14ac:dyDescent="0.3">
      <c r="B169" t="s">
        <v>481</v>
      </c>
      <c r="C169">
        <v>45993</v>
      </c>
      <c r="D169">
        <v>3356</v>
      </c>
      <c r="E169" t="s">
        <v>468</v>
      </c>
      <c r="F169" t="s">
        <v>674</v>
      </c>
      <c r="G169" t="s">
        <v>676</v>
      </c>
      <c r="H169">
        <v>2989.5</v>
      </c>
      <c r="I169">
        <v>12995.49</v>
      </c>
    </row>
    <row r="170" spans="2:9" x14ac:dyDescent="0.3">
      <c r="B170" t="s">
        <v>481</v>
      </c>
      <c r="C170">
        <v>45993</v>
      </c>
      <c r="D170">
        <v>12141</v>
      </c>
      <c r="E170" t="s">
        <v>468</v>
      </c>
      <c r="F170" t="s">
        <v>491</v>
      </c>
      <c r="G170" t="s">
        <v>677</v>
      </c>
      <c r="H170">
        <v>3006.1</v>
      </c>
      <c r="I170">
        <v>16001.59</v>
      </c>
    </row>
    <row r="171" spans="2:9" x14ac:dyDescent="0.3">
      <c r="B171" t="s">
        <v>481</v>
      </c>
      <c r="C171">
        <v>45993</v>
      </c>
      <c r="D171">
        <v>3360</v>
      </c>
      <c r="E171" t="s">
        <v>468</v>
      </c>
      <c r="F171" t="s">
        <v>674</v>
      </c>
      <c r="G171" t="s">
        <v>678</v>
      </c>
      <c r="H171">
        <v>250</v>
      </c>
      <c r="I171">
        <v>16251.59</v>
      </c>
    </row>
    <row r="172" spans="2:9" x14ac:dyDescent="0.3">
      <c r="B172" t="s">
        <v>481</v>
      </c>
      <c r="C172">
        <v>45994</v>
      </c>
      <c r="D172" t="s">
        <v>679</v>
      </c>
      <c r="E172" t="s">
        <v>468</v>
      </c>
      <c r="F172" t="s">
        <v>598</v>
      </c>
      <c r="G172" t="s">
        <v>680</v>
      </c>
      <c r="H172">
        <v>1177</v>
      </c>
      <c r="I172">
        <v>17428.59</v>
      </c>
    </row>
    <row r="173" spans="2:9" x14ac:dyDescent="0.3">
      <c r="B173" t="s">
        <v>481</v>
      </c>
      <c r="C173">
        <v>46009</v>
      </c>
      <c r="D173" t="s">
        <v>681</v>
      </c>
      <c r="E173" t="s">
        <v>682</v>
      </c>
      <c r="F173" t="s">
        <v>683</v>
      </c>
      <c r="G173" t="s">
        <v>684</v>
      </c>
      <c r="H173">
        <v>2659.51</v>
      </c>
      <c r="I173">
        <v>20088.099999999999</v>
      </c>
    </row>
    <row r="174" spans="2:9" x14ac:dyDescent="0.3">
      <c r="B174" t="s">
        <v>481</v>
      </c>
      <c r="C174">
        <v>46045</v>
      </c>
      <c r="D174">
        <v>133052</v>
      </c>
      <c r="E174" t="s">
        <v>462</v>
      </c>
      <c r="F174" t="s">
        <v>515</v>
      </c>
      <c r="G174" t="s">
        <v>721</v>
      </c>
      <c r="H174">
        <v>403</v>
      </c>
      <c r="I174">
        <v>20491.099999999999</v>
      </c>
    </row>
    <row r="175" spans="2:9" x14ac:dyDescent="0.3">
      <c r="B175" t="s">
        <v>481</v>
      </c>
      <c r="C175">
        <v>46045</v>
      </c>
      <c r="D175">
        <v>20260225</v>
      </c>
      <c r="E175" t="s">
        <v>462</v>
      </c>
      <c r="F175" t="s">
        <v>722</v>
      </c>
      <c r="G175" t="s">
        <v>723</v>
      </c>
      <c r="H175">
        <v>1800</v>
      </c>
      <c r="I175">
        <v>22291.1</v>
      </c>
    </row>
    <row r="176" spans="2:9" x14ac:dyDescent="0.3">
      <c r="B176" t="s">
        <v>481</v>
      </c>
      <c r="C176">
        <v>46050</v>
      </c>
      <c r="D176" t="s">
        <v>724</v>
      </c>
      <c r="E176" t="s">
        <v>448</v>
      </c>
      <c r="F176" t="s">
        <v>725</v>
      </c>
      <c r="G176" t="s">
        <v>726</v>
      </c>
      <c r="H176">
        <v>884</v>
      </c>
      <c r="I176">
        <v>23175.1</v>
      </c>
    </row>
    <row r="177" spans="2:9" x14ac:dyDescent="0.3">
      <c r="B177" t="s">
        <v>483</v>
      </c>
      <c r="C177">
        <v>46052</v>
      </c>
      <c r="D177" t="s">
        <v>727</v>
      </c>
      <c r="E177" t="s">
        <v>470</v>
      </c>
      <c r="F177" t="s">
        <v>728</v>
      </c>
      <c r="G177" t="s">
        <v>729</v>
      </c>
      <c r="H177">
        <v>375</v>
      </c>
      <c r="I177">
        <v>23550.1</v>
      </c>
    </row>
    <row r="178" spans="2:9" x14ac:dyDescent="0.3">
      <c r="B178" t="s">
        <v>481</v>
      </c>
      <c r="C178">
        <v>46062</v>
      </c>
      <c r="D178" t="s">
        <v>759</v>
      </c>
      <c r="E178" t="s">
        <v>462</v>
      </c>
      <c r="F178" t="s">
        <v>492</v>
      </c>
      <c r="G178" t="s">
        <v>760</v>
      </c>
      <c r="H178">
        <v>3000</v>
      </c>
      <c r="I178">
        <v>26550.1</v>
      </c>
    </row>
    <row r="179" spans="2:9" x14ac:dyDescent="0.3">
      <c r="B179" t="s">
        <v>481</v>
      </c>
      <c r="C179">
        <v>46066</v>
      </c>
      <c r="D179">
        <v>50632</v>
      </c>
      <c r="E179" t="s">
        <v>448</v>
      </c>
      <c r="F179" t="s">
        <v>761</v>
      </c>
      <c r="G179" t="s">
        <v>762</v>
      </c>
      <c r="H179">
        <v>503.73</v>
      </c>
      <c r="I179">
        <v>27053.83</v>
      </c>
    </row>
    <row r="180" spans="2:9" x14ac:dyDescent="0.3">
      <c r="B180" t="s">
        <v>483</v>
      </c>
      <c r="C180">
        <v>46069</v>
      </c>
      <c r="D180" t="s">
        <v>763</v>
      </c>
      <c r="E180" t="s">
        <v>448</v>
      </c>
      <c r="F180" t="s">
        <v>764</v>
      </c>
      <c r="G180" t="s">
        <v>765</v>
      </c>
      <c r="H180">
        <v>88.76</v>
      </c>
      <c r="I180">
        <v>27142.59</v>
      </c>
    </row>
    <row r="181" spans="2:9" x14ac:dyDescent="0.3">
      <c r="B181" t="s">
        <v>483</v>
      </c>
      <c r="C181">
        <v>46071</v>
      </c>
      <c r="D181" t="s">
        <v>766</v>
      </c>
      <c r="E181" t="s">
        <v>682</v>
      </c>
      <c r="F181" t="s">
        <v>728</v>
      </c>
      <c r="G181" t="s">
        <v>767</v>
      </c>
      <c r="H181">
        <v>375</v>
      </c>
      <c r="I181">
        <v>27517.59</v>
      </c>
    </row>
    <row r="182" spans="2:9" x14ac:dyDescent="0.3">
      <c r="B182" t="s">
        <v>481</v>
      </c>
      <c r="C182">
        <v>46071</v>
      </c>
      <c r="D182">
        <v>20260218</v>
      </c>
      <c r="E182" t="s">
        <v>462</v>
      </c>
      <c r="F182" t="s">
        <v>742</v>
      </c>
      <c r="G182" t="s">
        <v>768</v>
      </c>
      <c r="H182">
        <v>270</v>
      </c>
      <c r="I182">
        <v>27787.59</v>
      </c>
    </row>
    <row r="183" spans="2:9" x14ac:dyDescent="0.3">
      <c r="B183" t="s">
        <v>481</v>
      </c>
      <c r="C183">
        <v>46072</v>
      </c>
      <c r="D183">
        <v>3384</v>
      </c>
      <c r="E183" t="s">
        <v>462</v>
      </c>
      <c r="F183" t="s">
        <v>674</v>
      </c>
      <c r="G183" t="s">
        <v>769</v>
      </c>
      <c r="H183">
        <v>6993.78</v>
      </c>
      <c r="I183">
        <v>34781.370000000003</v>
      </c>
    </row>
    <row r="184" spans="2:9" x14ac:dyDescent="0.3">
      <c r="B184" t="s">
        <v>481</v>
      </c>
      <c r="C184">
        <v>46072</v>
      </c>
      <c r="D184">
        <v>3385</v>
      </c>
      <c r="E184" t="s">
        <v>462</v>
      </c>
      <c r="F184" t="s">
        <v>674</v>
      </c>
      <c r="G184" t="s">
        <v>770</v>
      </c>
      <c r="H184">
        <v>3000</v>
      </c>
      <c r="I184">
        <v>37781.370000000003</v>
      </c>
    </row>
    <row r="185" spans="2:9" x14ac:dyDescent="0.3">
      <c r="B185" t="s">
        <v>481</v>
      </c>
      <c r="C185">
        <v>46072</v>
      </c>
      <c r="D185" t="s">
        <v>771</v>
      </c>
      <c r="E185" t="s">
        <v>462</v>
      </c>
      <c r="F185" t="s">
        <v>598</v>
      </c>
      <c r="G185" t="s">
        <v>772</v>
      </c>
      <c r="H185">
        <v>1135</v>
      </c>
      <c r="I185">
        <v>38916.370000000003</v>
      </c>
    </row>
    <row r="186" spans="2:9" x14ac:dyDescent="0.3">
      <c r="B186" t="s">
        <v>483</v>
      </c>
      <c r="C186">
        <v>46072</v>
      </c>
      <c r="D186" t="s">
        <v>773</v>
      </c>
      <c r="E186" t="s">
        <v>462</v>
      </c>
      <c r="F186" t="s">
        <v>595</v>
      </c>
      <c r="G186" t="s">
        <v>774</v>
      </c>
      <c r="H186">
        <v>33.97</v>
      </c>
      <c r="I186">
        <v>38950.339999999997</v>
      </c>
    </row>
    <row r="187" spans="2:9" x14ac:dyDescent="0.3">
      <c r="B187" t="s">
        <v>481</v>
      </c>
      <c r="C187">
        <v>46073</v>
      </c>
      <c r="D187">
        <v>446970</v>
      </c>
      <c r="E187" t="s">
        <v>462</v>
      </c>
      <c r="F187" t="s">
        <v>642</v>
      </c>
      <c r="G187" t="s">
        <v>775</v>
      </c>
      <c r="H187">
        <v>10.5</v>
      </c>
      <c r="I187">
        <v>38960.839999999997</v>
      </c>
    </row>
    <row r="188" spans="2:9" x14ac:dyDescent="0.3">
      <c r="B188" t="s">
        <v>481</v>
      </c>
      <c r="C188">
        <v>46073</v>
      </c>
      <c r="D188">
        <v>446895</v>
      </c>
      <c r="E188" t="s">
        <v>462</v>
      </c>
      <c r="F188" t="s">
        <v>642</v>
      </c>
      <c r="G188" t="s">
        <v>776</v>
      </c>
      <c r="H188">
        <v>18</v>
      </c>
      <c r="I188">
        <v>38978.839999999997</v>
      </c>
    </row>
    <row r="189" spans="2:9" x14ac:dyDescent="0.3">
      <c r="B189" t="s">
        <v>481</v>
      </c>
      <c r="C189">
        <v>46078</v>
      </c>
      <c r="D189">
        <v>12427</v>
      </c>
      <c r="E189" t="s">
        <v>462</v>
      </c>
      <c r="F189" t="s">
        <v>491</v>
      </c>
      <c r="G189" t="s">
        <v>777</v>
      </c>
      <c r="H189">
        <v>11258.22</v>
      </c>
      <c r="I189">
        <v>50237.06</v>
      </c>
    </row>
    <row r="190" spans="2:9" x14ac:dyDescent="0.3">
      <c r="B190" t="s">
        <v>483</v>
      </c>
      <c r="C190">
        <v>46078</v>
      </c>
      <c r="D190" t="s">
        <v>778</v>
      </c>
      <c r="E190" t="s">
        <v>462</v>
      </c>
      <c r="F190" t="s">
        <v>650</v>
      </c>
      <c r="G190" t="s">
        <v>779</v>
      </c>
      <c r="H190">
        <v>38.49</v>
      </c>
      <c r="I190">
        <v>50275.55</v>
      </c>
    </row>
    <row r="191" spans="2:9" x14ac:dyDescent="0.3">
      <c r="B191" t="s">
        <v>481</v>
      </c>
      <c r="C191">
        <v>46078</v>
      </c>
      <c r="D191">
        <v>25049</v>
      </c>
      <c r="E191" t="s">
        <v>462</v>
      </c>
      <c r="F191" t="s">
        <v>780</v>
      </c>
      <c r="G191" t="s">
        <v>781</v>
      </c>
      <c r="H191">
        <v>565</v>
      </c>
      <c r="I191">
        <v>50840.55</v>
      </c>
    </row>
    <row r="192" spans="2:9" x14ac:dyDescent="0.3">
      <c r="B192" t="s">
        <v>481</v>
      </c>
      <c r="C192">
        <v>46079</v>
      </c>
      <c r="D192">
        <v>16695</v>
      </c>
      <c r="E192" t="s">
        <v>448</v>
      </c>
      <c r="F192" t="s">
        <v>782</v>
      </c>
      <c r="G192" t="s">
        <v>783</v>
      </c>
      <c r="H192">
        <v>195</v>
      </c>
      <c r="I192">
        <v>51035.55</v>
      </c>
    </row>
    <row r="193" spans="2:9" x14ac:dyDescent="0.3">
      <c r="B193" t="s">
        <v>481</v>
      </c>
      <c r="C193">
        <v>46082</v>
      </c>
      <c r="D193">
        <v>2092605</v>
      </c>
      <c r="E193" t="s">
        <v>450</v>
      </c>
      <c r="F193" t="s">
        <v>509</v>
      </c>
      <c r="G193" t="s">
        <v>895</v>
      </c>
      <c r="H193">
        <v>200</v>
      </c>
      <c r="I193">
        <v>51235.55</v>
      </c>
    </row>
    <row r="194" spans="2:9" x14ac:dyDescent="0.3">
      <c r="B194" t="s">
        <v>481</v>
      </c>
      <c r="C194">
        <v>46083</v>
      </c>
      <c r="D194">
        <v>406</v>
      </c>
      <c r="E194" t="s">
        <v>462</v>
      </c>
      <c r="F194" t="s">
        <v>652</v>
      </c>
      <c r="G194" t="s">
        <v>896</v>
      </c>
      <c r="H194">
        <v>525</v>
      </c>
      <c r="I194">
        <v>51760.55</v>
      </c>
    </row>
    <row r="195" spans="2:9" x14ac:dyDescent="0.3">
      <c r="B195" t="s">
        <v>481</v>
      </c>
      <c r="C195">
        <v>46085</v>
      </c>
      <c r="D195" t="s">
        <v>792</v>
      </c>
      <c r="E195" t="s">
        <v>462</v>
      </c>
      <c r="F195" t="s">
        <v>793</v>
      </c>
      <c r="G195" t="s">
        <v>897</v>
      </c>
      <c r="H195">
        <v>650</v>
      </c>
      <c r="I195">
        <v>52410.55</v>
      </c>
    </row>
    <row r="196" spans="2:9" x14ac:dyDescent="0.3">
      <c r="B196" t="s">
        <v>481</v>
      </c>
      <c r="C196">
        <v>46090</v>
      </c>
      <c r="D196">
        <v>231163498</v>
      </c>
      <c r="E196" t="s">
        <v>448</v>
      </c>
      <c r="F196" t="s">
        <v>898</v>
      </c>
      <c r="G196" t="s">
        <v>899</v>
      </c>
      <c r="H196">
        <v>9100</v>
      </c>
      <c r="I196">
        <v>61510.55</v>
      </c>
    </row>
    <row r="197" spans="2:9" x14ac:dyDescent="0.3">
      <c r="B197" t="s">
        <v>481</v>
      </c>
      <c r="C197">
        <v>46090</v>
      </c>
      <c r="D197">
        <v>231163498</v>
      </c>
      <c r="E197" t="s">
        <v>448</v>
      </c>
      <c r="F197" t="s">
        <v>898</v>
      </c>
      <c r="G197" t="s">
        <v>900</v>
      </c>
      <c r="H197">
        <v>60</v>
      </c>
      <c r="I197">
        <v>61570.55</v>
      </c>
    </row>
    <row r="198" spans="2:9" x14ac:dyDescent="0.3">
      <c r="B198" t="s">
        <v>481</v>
      </c>
      <c r="C198">
        <v>46092</v>
      </c>
      <c r="D198" t="s">
        <v>901</v>
      </c>
      <c r="E198" t="s">
        <v>464</v>
      </c>
      <c r="F198" t="s">
        <v>683</v>
      </c>
      <c r="G198" t="s">
        <v>902</v>
      </c>
      <c r="H198">
        <v>0</v>
      </c>
      <c r="I198">
        <v>61570.55</v>
      </c>
    </row>
    <row r="199" spans="2:9" x14ac:dyDescent="0.3">
      <c r="B199" t="s">
        <v>481</v>
      </c>
      <c r="C199">
        <v>46092</v>
      </c>
      <c r="D199" t="s">
        <v>901</v>
      </c>
      <c r="E199" t="s">
        <v>464</v>
      </c>
      <c r="F199" t="s">
        <v>683</v>
      </c>
      <c r="G199" t="s">
        <v>903</v>
      </c>
      <c r="H199">
        <v>0</v>
      </c>
      <c r="I199">
        <v>61570.55</v>
      </c>
    </row>
    <row r="200" spans="2:9" x14ac:dyDescent="0.3">
      <c r="B200" t="s">
        <v>481</v>
      </c>
      <c r="C200">
        <v>46092</v>
      </c>
      <c r="D200" t="s">
        <v>901</v>
      </c>
      <c r="E200" t="s">
        <v>464</v>
      </c>
      <c r="F200" t="s">
        <v>683</v>
      </c>
      <c r="G200" t="s">
        <v>904</v>
      </c>
      <c r="H200">
        <v>0</v>
      </c>
      <c r="I200">
        <v>61570.55</v>
      </c>
    </row>
    <row r="201" spans="2:9" x14ac:dyDescent="0.3">
      <c r="B201" t="s">
        <v>481</v>
      </c>
      <c r="C201">
        <v>46092</v>
      </c>
      <c r="D201" t="s">
        <v>905</v>
      </c>
      <c r="E201" t="s">
        <v>448</v>
      </c>
      <c r="F201" t="s">
        <v>836</v>
      </c>
      <c r="G201" t="s">
        <v>906</v>
      </c>
      <c r="H201">
        <v>2113.65</v>
      </c>
      <c r="I201">
        <v>63684.2</v>
      </c>
    </row>
    <row r="202" spans="2:9" x14ac:dyDescent="0.3">
      <c r="B202" t="s">
        <v>907</v>
      </c>
      <c r="C202">
        <v>46092</v>
      </c>
      <c r="D202" t="s">
        <v>908</v>
      </c>
      <c r="E202" t="s">
        <v>448</v>
      </c>
      <c r="F202" t="s">
        <v>909</v>
      </c>
      <c r="G202" t="s">
        <v>910</v>
      </c>
      <c r="H202">
        <v>1173.6199999999999</v>
      </c>
      <c r="I202">
        <v>64857.82</v>
      </c>
    </row>
    <row r="203" spans="2:9" x14ac:dyDescent="0.3">
      <c r="B203" t="s">
        <v>483</v>
      </c>
      <c r="C203">
        <v>46093</v>
      </c>
      <c r="D203" t="s">
        <v>911</v>
      </c>
      <c r="E203" t="s">
        <v>448</v>
      </c>
      <c r="F203" t="s">
        <v>595</v>
      </c>
      <c r="G203" t="s">
        <v>912</v>
      </c>
      <c r="H203">
        <v>22.47</v>
      </c>
      <c r="I203">
        <v>64880.29</v>
      </c>
    </row>
    <row r="204" spans="2:9" x14ac:dyDescent="0.3">
      <c r="B204" t="s">
        <v>481</v>
      </c>
      <c r="C204">
        <v>46094</v>
      </c>
      <c r="D204">
        <v>260784</v>
      </c>
      <c r="E204" t="s">
        <v>682</v>
      </c>
      <c r="F204" t="s">
        <v>913</v>
      </c>
      <c r="G204" t="s">
        <v>914</v>
      </c>
      <c r="H204">
        <v>8382.9500000000007</v>
      </c>
      <c r="I204">
        <v>73263.240000000005</v>
      </c>
    </row>
    <row r="205" spans="2:9" x14ac:dyDescent="0.3">
      <c r="B205" t="s">
        <v>481</v>
      </c>
      <c r="C205">
        <v>46097</v>
      </c>
      <c r="D205">
        <v>447465</v>
      </c>
      <c r="E205" t="s">
        <v>448</v>
      </c>
      <c r="F205" t="s">
        <v>642</v>
      </c>
      <c r="G205" t="s">
        <v>915</v>
      </c>
      <c r="H205">
        <v>43.68</v>
      </c>
      <c r="I205">
        <v>73306.92</v>
      </c>
    </row>
    <row r="206" spans="2:9" x14ac:dyDescent="0.3">
      <c r="B206" t="s">
        <v>481</v>
      </c>
      <c r="C206">
        <v>46097</v>
      </c>
      <c r="D206">
        <v>12479</v>
      </c>
      <c r="E206" t="s">
        <v>448</v>
      </c>
      <c r="F206" t="s">
        <v>491</v>
      </c>
      <c r="G206" t="s">
        <v>916</v>
      </c>
      <c r="H206">
        <v>6660.75</v>
      </c>
      <c r="I206">
        <v>79967.67</v>
      </c>
    </row>
    <row r="207" spans="2:9" x14ac:dyDescent="0.3">
      <c r="B207" t="s">
        <v>481</v>
      </c>
      <c r="C207">
        <v>46097</v>
      </c>
      <c r="D207">
        <v>12478</v>
      </c>
      <c r="E207" t="s">
        <v>448</v>
      </c>
      <c r="F207" t="s">
        <v>491</v>
      </c>
      <c r="G207" t="s">
        <v>917</v>
      </c>
      <c r="H207">
        <v>4167.88</v>
      </c>
      <c r="I207">
        <v>84135.55</v>
      </c>
    </row>
    <row r="208" spans="2:9" x14ac:dyDescent="0.3">
      <c r="B208" t="s">
        <v>481</v>
      </c>
      <c r="C208">
        <v>46098</v>
      </c>
      <c r="D208" t="s">
        <v>918</v>
      </c>
      <c r="E208" t="s">
        <v>448</v>
      </c>
      <c r="F208" t="s">
        <v>836</v>
      </c>
      <c r="G208" t="s">
        <v>919</v>
      </c>
      <c r="H208">
        <v>2555</v>
      </c>
      <c r="I208">
        <v>86690.55</v>
      </c>
    </row>
    <row r="209" spans="2:9" x14ac:dyDescent="0.3">
      <c r="B209" t="s">
        <v>483</v>
      </c>
      <c r="C209">
        <v>46098</v>
      </c>
      <c r="D209" t="s">
        <v>920</v>
      </c>
      <c r="E209" t="s">
        <v>448</v>
      </c>
      <c r="F209" t="s">
        <v>595</v>
      </c>
      <c r="G209" t="s">
        <v>921</v>
      </c>
      <c r="H209">
        <v>26.99</v>
      </c>
      <c r="I209">
        <v>86717.54</v>
      </c>
    </row>
    <row r="210" spans="2:9" x14ac:dyDescent="0.3">
      <c r="B210" t="s">
        <v>483</v>
      </c>
      <c r="C210">
        <v>46098</v>
      </c>
      <c r="D210" t="s">
        <v>922</v>
      </c>
      <c r="E210" t="s">
        <v>448</v>
      </c>
      <c r="F210" t="s">
        <v>702</v>
      </c>
      <c r="G210" t="s">
        <v>923</v>
      </c>
      <c r="H210">
        <v>25</v>
      </c>
      <c r="I210">
        <v>86742.54</v>
      </c>
    </row>
    <row r="211" spans="2:9" x14ac:dyDescent="0.3">
      <c r="B211" t="s">
        <v>483</v>
      </c>
      <c r="C211">
        <v>46100</v>
      </c>
      <c r="D211" t="s">
        <v>924</v>
      </c>
      <c r="E211" t="s">
        <v>448</v>
      </c>
      <c r="F211" t="s">
        <v>595</v>
      </c>
      <c r="G211" t="s">
        <v>912</v>
      </c>
      <c r="H211">
        <v>768.89</v>
      </c>
      <c r="I211">
        <v>87511.43</v>
      </c>
    </row>
    <row r="212" spans="2:9" x14ac:dyDescent="0.3">
      <c r="B212" t="s">
        <v>481</v>
      </c>
      <c r="C212">
        <v>46101</v>
      </c>
      <c r="D212" t="s">
        <v>925</v>
      </c>
      <c r="E212" t="s">
        <v>448</v>
      </c>
      <c r="F212" t="s">
        <v>485</v>
      </c>
      <c r="G212" t="s">
        <v>926</v>
      </c>
      <c r="H212">
        <v>1250</v>
      </c>
      <c r="I212">
        <v>88761.43</v>
      </c>
    </row>
    <row r="213" spans="2:9" x14ac:dyDescent="0.3">
      <c r="B213" t="s">
        <v>483</v>
      </c>
      <c r="C213">
        <v>46101</v>
      </c>
      <c r="D213" t="s">
        <v>927</v>
      </c>
      <c r="E213" t="s">
        <v>448</v>
      </c>
      <c r="F213" t="s">
        <v>595</v>
      </c>
      <c r="G213" t="s">
        <v>928</v>
      </c>
      <c r="H213">
        <v>25.03</v>
      </c>
      <c r="I213">
        <v>88786.46</v>
      </c>
    </row>
    <row r="214" spans="2:9" x14ac:dyDescent="0.3">
      <c r="B214" t="s">
        <v>481</v>
      </c>
      <c r="C214">
        <v>46104</v>
      </c>
      <c r="D214">
        <v>25507</v>
      </c>
      <c r="E214" t="s">
        <v>448</v>
      </c>
      <c r="F214" t="s">
        <v>780</v>
      </c>
      <c r="G214" t="s">
        <v>929</v>
      </c>
      <c r="H214">
        <v>2445</v>
      </c>
      <c r="I214">
        <v>91231.46</v>
      </c>
    </row>
    <row r="215" spans="2:9" x14ac:dyDescent="0.3">
      <c r="B215" t="s">
        <v>481</v>
      </c>
      <c r="C215">
        <v>46104</v>
      </c>
      <c r="D215" t="s">
        <v>930</v>
      </c>
      <c r="E215" t="s">
        <v>448</v>
      </c>
      <c r="F215" t="s">
        <v>931</v>
      </c>
      <c r="G215" t="s">
        <v>932</v>
      </c>
      <c r="H215">
        <v>1526</v>
      </c>
      <c r="I215">
        <v>92757.46</v>
      </c>
    </row>
    <row r="216" spans="2:9" x14ac:dyDescent="0.3">
      <c r="B216" t="s">
        <v>481</v>
      </c>
      <c r="C216">
        <v>46104</v>
      </c>
      <c r="D216" t="s">
        <v>933</v>
      </c>
      <c r="E216" t="s">
        <v>448</v>
      </c>
      <c r="F216" t="s">
        <v>931</v>
      </c>
      <c r="G216" t="s">
        <v>934</v>
      </c>
      <c r="H216">
        <v>3483.1</v>
      </c>
      <c r="I216">
        <v>96240.56</v>
      </c>
    </row>
    <row r="217" spans="2:9" x14ac:dyDescent="0.3">
      <c r="B217" t="s">
        <v>481</v>
      </c>
      <c r="C217">
        <v>46104</v>
      </c>
      <c r="D217" t="s">
        <v>933</v>
      </c>
      <c r="E217" t="s">
        <v>448</v>
      </c>
      <c r="F217" t="s">
        <v>931</v>
      </c>
      <c r="G217" t="s">
        <v>935</v>
      </c>
      <c r="H217">
        <v>-250</v>
      </c>
      <c r="I217">
        <v>95990.56</v>
      </c>
    </row>
    <row r="218" spans="2:9" x14ac:dyDescent="0.3">
      <c r="B218" t="s">
        <v>481</v>
      </c>
      <c r="C218">
        <v>46104</v>
      </c>
      <c r="D218" t="s">
        <v>936</v>
      </c>
      <c r="E218" t="s">
        <v>448</v>
      </c>
      <c r="F218" t="s">
        <v>931</v>
      </c>
      <c r="G218" t="s">
        <v>937</v>
      </c>
      <c r="H218">
        <v>2261</v>
      </c>
      <c r="I218">
        <v>98251.56</v>
      </c>
    </row>
    <row r="219" spans="2:9" x14ac:dyDescent="0.3">
      <c r="B219" t="s">
        <v>481</v>
      </c>
      <c r="C219">
        <v>46104</v>
      </c>
      <c r="D219" t="s">
        <v>936</v>
      </c>
      <c r="E219" t="s">
        <v>448</v>
      </c>
      <c r="F219" t="s">
        <v>931</v>
      </c>
      <c r="G219" t="s">
        <v>935</v>
      </c>
      <c r="H219">
        <v>-250</v>
      </c>
      <c r="I219">
        <v>98001.56</v>
      </c>
    </row>
    <row r="220" spans="2:9" x14ac:dyDescent="0.3">
      <c r="B220" t="s">
        <v>481</v>
      </c>
      <c r="C220">
        <v>46105</v>
      </c>
      <c r="D220">
        <v>413</v>
      </c>
      <c r="E220" t="s">
        <v>448</v>
      </c>
      <c r="F220" t="s">
        <v>652</v>
      </c>
      <c r="G220" t="s">
        <v>938</v>
      </c>
      <c r="H220">
        <v>675</v>
      </c>
      <c r="I220">
        <v>98676.56</v>
      </c>
    </row>
    <row r="221" spans="2:9" x14ac:dyDescent="0.3">
      <c r="B221" t="s">
        <v>481</v>
      </c>
      <c r="C221">
        <v>46106</v>
      </c>
      <c r="D221" t="s">
        <v>939</v>
      </c>
      <c r="E221" t="s">
        <v>448</v>
      </c>
      <c r="F221" t="s">
        <v>658</v>
      </c>
      <c r="G221" t="s">
        <v>940</v>
      </c>
      <c r="H221">
        <v>750</v>
      </c>
      <c r="I221">
        <v>99426.559999999998</v>
      </c>
    </row>
    <row r="222" spans="2:9" x14ac:dyDescent="0.3">
      <c r="B222" t="s">
        <v>483</v>
      </c>
      <c r="C222">
        <v>46106</v>
      </c>
      <c r="D222" t="s">
        <v>941</v>
      </c>
      <c r="E222" t="s">
        <v>448</v>
      </c>
      <c r="F222" t="s">
        <v>595</v>
      </c>
      <c r="G222" t="s">
        <v>942</v>
      </c>
      <c r="H222">
        <v>129.99</v>
      </c>
      <c r="I222">
        <v>99556.55</v>
      </c>
    </row>
    <row r="223" spans="2:9" x14ac:dyDescent="0.3">
      <c r="B223" t="s">
        <v>481</v>
      </c>
      <c r="C223">
        <v>46107</v>
      </c>
      <c r="D223" t="s">
        <v>853</v>
      </c>
      <c r="E223" t="s">
        <v>448</v>
      </c>
      <c r="F223" t="s">
        <v>793</v>
      </c>
      <c r="G223" t="s">
        <v>943</v>
      </c>
      <c r="H223">
        <v>850</v>
      </c>
      <c r="I223">
        <v>100406.55</v>
      </c>
    </row>
    <row r="224" spans="2:9" x14ac:dyDescent="0.3">
      <c r="B224" t="s">
        <v>481</v>
      </c>
      <c r="C224">
        <v>46107</v>
      </c>
      <c r="D224">
        <v>20261</v>
      </c>
      <c r="E224" t="s">
        <v>448</v>
      </c>
      <c r="F224" t="s">
        <v>858</v>
      </c>
      <c r="G224" t="s">
        <v>944</v>
      </c>
      <c r="H224">
        <v>234</v>
      </c>
      <c r="I224">
        <v>100640.55</v>
      </c>
    </row>
    <row r="225" spans="1:9" x14ac:dyDescent="0.3">
      <c r="B225" t="s">
        <v>481</v>
      </c>
      <c r="C225">
        <v>46111</v>
      </c>
      <c r="D225">
        <v>20260330</v>
      </c>
      <c r="E225" t="s">
        <v>448</v>
      </c>
      <c r="F225" t="s">
        <v>945</v>
      </c>
      <c r="G225" t="s">
        <v>946</v>
      </c>
      <c r="H225">
        <v>7000</v>
      </c>
      <c r="I225">
        <v>107640.55</v>
      </c>
    </row>
    <row r="226" spans="1:9" x14ac:dyDescent="0.3">
      <c r="A226" t="s">
        <v>493</v>
      </c>
      <c r="H226">
        <v>107640.55</v>
      </c>
      <c r="I226">
        <v>107640.55</v>
      </c>
    </row>
    <row r="227" spans="1:9" x14ac:dyDescent="0.3">
      <c r="A227" t="s">
        <v>383</v>
      </c>
      <c r="H227">
        <v>107640.55</v>
      </c>
      <c r="I227">
        <v>107640.55</v>
      </c>
    </row>
    <row r="228" spans="1:9" x14ac:dyDescent="0.3">
      <c r="A228" t="s">
        <v>386</v>
      </c>
      <c r="H228">
        <v>108957.8</v>
      </c>
      <c r="I228">
        <v>108957.8</v>
      </c>
    </row>
    <row r="229" spans="1:9" x14ac:dyDescent="0.3">
      <c r="A229" t="s">
        <v>206</v>
      </c>
    </row>
    <row r="230" spans="1:9" x14ac:dyDescent="0.3">
      <c r="A230" t="s">
        <v>325</v>
      </c>
    </row>
    <row r="231" spans="1:9" x14ac:dyDescent="0.3">
      <c r="B231" t="s">
        <v>481</v>
      </c>
      <c r="C231">
        <v>45938</v>
      </c>
      <c r="D231">
        <v>2849</v>
      </c>
      <c r="E231" t="s">
        <v>452</v>
      </c>
      <c r="F231" t="s">
        <v>482</v>
      </c>
      <c r="G231" t="s">
        <v>634</v>
      </c>
      <c r="H231">
        <v>650</v>
      </c>
      <c r="I231">
        <v>650</v>
      </c>
    </row>
    <row r="232" spans="1:9" x14ac:dyDescent="0.3">
      <c r="A232" t="s">
        <v>635</v>
      </c>
      <c r="H232">
        <v>650</v>
      </c>
      <c r="I232">
        <v>650</v>
      </c>
    </row>
    <row r="233" spans="1:9" x14ac:dyDescent="0.3">
      <c r="A233" t="s">
        <v>395</v>
      </c>
      <c r="H233">
        <v>650</v>
      </c>
      <c r="I233">
        <v>650</v>
      </c>
    </row>
    <row r="234" spans="1:9" x14ac:dyDescent="0.3">
      <c r="A234" t="s">
        <v>396</v>
      </c>
      <c r="H234">
        <v>109607.8</v>
      </c>
      <c r="I234">
        <v>109607.8</v>
      </c>
    </row>
    <row r="235" spans="1:9" x14ac:dyDescent="0.3">
      <c r="A235" t="s">
        <v>406</v>
      </c>
      <c r="H235">
        <v>265145.61</v>
      </c>
      <c r="I235">
        <v>265145.61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J160"/>
  <sheetViews>
    <sheetView topLeftCell="A133" workbookViewId="0">
      <selection activeCell="A159" sqref="A159:XFD159"/>
    </sheetView>
  </sheetViews>
  <sheetFormatPr defaultRowHeight="14.4" x14ac:dyDescent="0.3"/>
  <cols>
    <col min="1" max="1" width="7.109375" bestFit="1" customWidth="1"/>
    <col min="2" max="2" width="59.109375" bestFit="1" customWidth="1"/>
    <col min="3" max="3" width="33.88671875" bestFit="1" customWidth="1"/>
    <col min="4" max="5" width="12.109375" customWidth="1"/>
    <col min="6" max="6" width="13.33203125" style="75" bestFit="1" customWidth="1"/>
    <col min="7" max="7" width="38.109375" bestFit="1" customWidth="1"/>
    <col min="8" max="9" width="14.33203125" bestFit="1" customWidth="1"/>
    <col min="10" max="11" width="14.6640625" style="75" customWidth="1"/>
    <col min="12" max="12" width="38.109375" bestFit="1" customWidth="1"/>
    <col min="13" max="14" width="14.33203125" bestFit="1" customWidth="1"/>
    <col min="15" max="15" width="14.6640625" style="75" customWidth="1"/>
    <col min="16" max="16" width="38.109375" bestFit="1" customWidth="1"/>
    <col min="17" max="17" width="14.33203125" bestFit="1" customWidth="1"/>
    <col min="19" max="19" width="14.6640625" style="75" customWidth="1"/>
    <col min="20" max="20" width="38.109375" bestFit="1" customWidth="1"/>
    <col min="21" max="22" width="14.33203125" bestFit="1" customWidth="1"/>
    <col min="23" max="23" width="14.6640625" style="75" customWidth="1"/>
    <col min="24" max="24" width="38.109375" bestFit="1" customWidth="1"/>
    <col min="25" max="26" width="14.33203125" bestFit="1" customWidth="1"/>
    <col min="27" max="27" width="14.6640625" style="75" customWidth="1"/>
    <col min="28" max="28" width="38.109375" style="75" bestFit="1" customWidth="1"/>
    <col min="29" max="32" width="14.6640625" style="75" customWidth="1"/>
    <col min="33" max="33" width="38.109375" bestFit="1" customWidth="1"/>
    <col min="34" max="35" width="13.44140625" bestFit="1" customWidth="1"/>
    <col min="36" max="37" width="14.6640625" style="75" customWidth="1"/>
    <col min="38" max="38" width="38.109375" bestFit="1" customWidth="1"/>
    <col min="39" max="40" width="14" bestFit="1" customWidth="1"/>
    <col min="41" max="41" width="14.6640625" style="75" customWidth="1"/>
    <col min="42" max="42" width="38.109375" bestFit="1" customWidth="1"/>
    <col min="43" max="44" width="14.6640625" bestFit="1" customWidth="1"/>
    <col min="45" max="45" width="14.6640625" style="75" customWidth="1"/>
    <col min="46" max="46" width="38.109375" bestFit="1" customWidth="1"/>
    <col min="47" max="48" width="14.6640625" bestFit="1" customWidth="1"/>
    <col min="49" max="49" width="14.44140625" customWidth="1"/>
    <col min="50" max="50" width="38.109375" bestFit="1" customWidth="1"/>
    <col min="51" max="52" width="14.44140625" bestFit="1" customWidth="1"/>
    <col min="53" max="53" width="5" customWidth="1"/>
    <col min="54" max="54" width="38.109375" bestFit="1" customWidth="1"/>
    <col min="55" max="56" width="14.44140625" bestFit="1" customWidth="1"/>
    <col min="57" max="57" width="14.44140625" customWidth="1"/>
    <col min="58" max="58" width="38.109375" bestFit="1" customWidth="1"/>
    <col min="59" max="60" width="14.44140625" bestFit="1" customWidth="1"/>
    <col min="61" max="61" width="13.88671875" customWidth="1"/>
    <col min="62" max="62" width="38.109375" bestFit="1" customWidth="1"/>
    <col min="63" max="64" width="13.88671875" bestFit="1" customWidth="1"/>
    <col min="65" max="65" width="13.88671875" customWidth="1"/>
    <col min="66" max="66" width="38.109375" bestFit="1" customWidth="1"/>
    <col min="67" max="68" width="13.88671875" bestFit="1" customWidth="1"/>
    <col min="69" max="69" width="11.33203125" customWidth="1"/>
    <col min="70" max="70" width="38.109375" bestFit="1" customWidth="1"/>
    <col min="71" max="72" width="11.33203125" bestFit="1" customWidth="1"/>
    <col min="73" max="73" width="11.5546875" customWidth="1"/>
    <col min="74" max="74" width="38.109375" bestFit="1" customWidth="1"/>
    <col min="75" max="76" width="11.33203125" bestFit="1" customWidth="1"/>
    <col min="78" max="78" width="35.6640625" bestFit="1" customWidth="1"/>
    <col min="82" max="82" width="35.6640625" bestFit="1" customWidth="1"/>
    <col min="83" max="83" width="10.6640625" bestFit="1" customWidth="1"/>
    <col min="84" max="84" width="10" bestFit="1" customWidth="1"/>
    <col min="85" max="85" width="10" customWidth="1"/>
    <col min="86" max="86" width="35.6640625" bestFit="1" customWidth="1"/>
    <col min="87" max="87" width="10.6640625" bestFit="1" customWidth="1"/>
    <col min="88" max="88" width="10" bestFit="1" customWidth="1"/>
  </cols>
  <sheetData>
    <row r="1" spans="1:88" x14ac:dyDescent="0.3">
      <c r="B1" t="s">
        <v>240</v>
      </c>
      <c r="C1" t="s">
        <v>241</v>
      </c>
      <c r="D1" s="63" t="s">
        <v>400</v>
      </c>
      <c r="E1" s="63" t="s">
        <v>242</v>
      </c>
      <c r="G1" t="s">
        <v>948</v>
      </c>
      <c r="H1" t="s">
        <v>576</v>
      </c>
      <c r="I1" t="s">
        <v>345</v>
      </c>
      <c r="L1" t="s">
        <v>689</v>
      </c>
      <c r="M1" t="s">
        <v>576</v>
      </c>
      <c r="N1" t="s">
        <v>345</v>
      </c>
      <c r="Q1" t="s">
        <v>576</v>
      </c>
      <c r="R1" t="s">
        <v>345</v>
      </c>
      <c r="U1" t="s">
        <v>576</v>
      </c>
      <c r="V1" t="s">
        <v>345</v>
      </c>
      <c r="X1" s="84" t="s">
        <v>588</v>
      </c>
      <c r="Y1" t="s">
        <v>576</v>
      </c>
      <c r="Z1" t="s">
        <v>345</v>
      </c>
      <c r="AB1" s="84" t="s">
        <v>573</v>
      </c>
      <c r="AC1" t="s">
        <v>571</v>
      </c>
      <c r="AD1" t="s">
        <v>572</v>
      </c>
      <c r="AG1" s="84" t="s">
        <v>570</v>
      </c>
      <c r="AH1" t="s">
        <v>568</v>
      </c>
      <c r="AI1" t="s">
        <v>569</v>
      </c>
      <c r="AL1" s="84" t="s">
        <v>567</v>
      </c>
      <c r="AM1" t="s">
        <v>565</v>
      </c>
      <c r="AN1" t="s">
        <v>566</v>
      </c>
      <c r="AP1" s="84" t="s">
        <v>564</v>
      </c>
      <c r="AQ1" t="s">
        <v>555</v>
      </c>
      <c r="AR1" t="s">
        <v>556</v>
      </c>
      <c r="AT1" s="84" t="s">
        <v>563</v>
      </c>
      <c r="AU1" t="s">
        <v>555</v>
      </c>
      <c r="AV1" t="s">
        <v>556</v>
      </c>
      <c r="AX1" s="84" t="s">
        <v>558</v>
      </c>
      <c r="AY1" t="s">
        <v>555</v>
      </c>
      <c r="AZ1" t="s">
        <v>556</v>
      </c>
      <c r="BB1" s="84" t="s">
        <v>554</v>
      </c>
      <c r="BC1" t="s">
        <v>552</v>
      </c>
      <c r="BD1" t="s">
        <v>553</v>
      </c>
      <c r="BF1" s="84" t="s">
        <v>550</v>
      </c>
      <c r="BG1" t="s">
        <v>548</v>
      </c>
      <c r="BH1" t="s">
        <v>549</v>
      </c>
      <c r="BJ1" s="84" t="s">
        <v>547</v>
      </c>
      <c r="BK1" t="s">
        <v>545</v>
      </c>
      <c r="BL1" t="s">
        <v>546</v>
      </c>
      <c r="BN1" s="84" t="s">
        <v>521</v>
      </c>
      <c r="BO1" t="s">
        <v>517</v>
      </c>
      <c r="BP1" t="s">
        <v>518</v>
      </c>
      <c r="BR1" s="79" t="s">
        <v>513</v>
      </c>
      <c r="BS1" t="s">
        <v>510</v>
      </c>
      <c r="BT1" t="s">
        <v>511</v>
      </c>
      <c r="BV1" s="79" t="s">
        <v>502</v>
      </c>
      <c r="BW1" t="s">
        <v>510</v>
      </c>
      <c r="BX1" t="s">
        <v>511</v>
      </c>
      <c r="BY1" s="78"/>
      <c r="BZ1" s="79" t="s">
        <v>499</v>
      </c>
      <c r="CA1" s="78">
        <v>45589</v>
      </c>
      <c r="CB1" s="78">
        <v>45588</v>
      </c>
      <c r="CD1" s="79" t="s">
        <v>498</v>
      </c>
      <c r="CE1" s="78">
        <v>45589</v>
      </c>
      <c r="CF1" s="78">
        <v>45588</v>
      </c>
      <c r="CG1" s="78"/>
      <c r="CH1" s="79" t="s">
        <v>494</v>
      </c>
      <c r="CI1" s="78">
        <v>45589</v>
      </c>
      <c r="CJ1" s="78">
        <v>45588</v>
      </c>
    </row>
    <row r="2" spans="1:88" x14ac:dyDescent="0.3">
      <c r="G2" t="s">
        <v>346</v>
      </c>
      <c r="L2" t="s">
        <v>346</v>
      </c>
      <c r="P2" t="s">
        <v>346</v>
      </c>
      <c r="T2" t="s">
        <v>346</v>
      </c>
      <c r="X2" t="s">
        <v>346</v>
      </c>
      <c r="AB2" t="s">
        <v>346</v>
      </c>
      <c r="AC2"/>
      <c r="AD2"/>
      <c r="AG2" t="s">
        <v>346</v>
      </c>
      <c r="AL2" t="s">
        <v>346</v>
      </c>
      <c r="AP2" t="s">
        <v>346</v>
      </c>
      <c r="AT2" t="s">
        <v>346</v>
      </c>
      <c r="AX2" t="s">
        <v>346</v>
      </c>
      <c r="BB2" t="s">
        <v>346</v>
      </c>
      <c r="BF2" t="s">
        <v>346</v>
      </c>
      <c r="BJ2" t="s">
        <v>346</v>
      </c>
      <c r="BN2" t="s">
        <v>346</v>
      </c>
      <c r="BR2" t="s">
        <v>346</v>
      </c>
      <c r="BV2" t="s">
        <v>346</v>
      </c>
      <c r="BZ2" t="s">
        <v>346</v>
      </c>
      <c r="CD2" t="s">
        <v>346</v>
      </c>
      <c r="CH2" t="s">
        <v>346</v>
      </c>
    </row>
    <row r="3" spans="1:88" x14ac:dyDescent="0.3">
      <c r="B3" t="s">
        <v>12</v>
      </c>
      <c r="C3" t="s">
        <v>243</v>
      </c>
      <c r="D3">
        <f t="shared" ref="D3:D34" si="0">SUMIFS(H:H,G:G,C3)</f>
        <v>0</v>
      </c>
      <c r="E3">
        <f t="shared" ref="E3:E34" si="1">SUMIFS(I:I,G:G,C3)</f>
        <v>0</v>
      </c>
      <c r="G3" t="s">
        <v>347</v>
      </c>
      <c r="L3" t="s">
        <v>347</v>
      </c>
      <c r="P3" t="s">
        <v>347</v>
      </c>
      <c r="T3" t="s">
        <v>347</v>
      </c>
      <c r="X3" t="s">
        <v>347</v>
      </c>
      <c r="AB3" t="s">
        <v>347</v>
      </c>
      <c r="AC3"/>
      <c r="AD3"/>
      <c r="AG3" t="s">
        <v>347</v>
      </c>
      <c r="AL3" t="s">
        <v>347</v>
      </c>
      <c r="AP3" t="s">
        <v>347</v>
      </c>
      <c r="AT3" t="s">
        <v>347</v>
      </c>
      <c r="AX3" t="s">
        <v>347</v>
      </c>
      <c r="BB3" t="s">
        <v>347</v>
      </c>
      <c r="BF3" t="s">
        <v>347</v>
      </c>
      <c r="BJ3" t="s">
        <v>347</v>
      </c>
      <c r="BN3" t="s">
        <v>347</v>
      </c>
      <c r="BR3" t="s">
        <v>347</v>
      </c>
      <c r="BV3" t="s">
        <v>347</v>
      </c>
      <c r="BZ3" t="s">
        <v>347</v>
      </c>
      <c r="CD3" t="s">
        <v>347</v>
      </c>
      <c r="CH3" t="s">
        <v>347</v>
      </c>
    </row>
    <row r="4" spans="1:88" x14ac:dyDescent="0.3">
      <c r="A4" t="s">
        <v>9</v>
      </c>
      <c r="B4" t="s">
        <v>12</v>
      </c>
      <c r="D4">
        <f t="shared" si="0"/>
        <v>0</v>
      </c>
      <c r="E4">
        <f t="shared" si="1"/>
        <v>0</v>
      </c>
      <c r="G4" t="s">
        <v>244</v>
      </c>
      <c r="H4">
        <v>0</v>
      </c>
      <c r="I4">
        <v>30000</v>
      </c>
      <c r="J4" s="75">
        <f>SUMIFS(E:E,C:C,G4)-I4</f>
        <v>0</v>
      </c>
      <c r="L4" t="s">
        <v>244</v>
      </c>
      <c r="M4">
        <v>0</v>
      </c>
      <c r="N4">
        <v>30000</v>
      </c>
      <c r="P4" t="s">
        <v>244</v>
      </c>
      <c r="Q4">
        <v>0</v>
      </c>
      <c r="R4">
        <v>30000</v>
      </c>
      <c r="T4" t="s">
        <v>244</v>
      </c>
      <c r="U4">
        <v>0</v>
      </c>
      <c r="V4">
        <v>30000</v>
      </c>
      <c r="X4" t="s">
        <v>244</v>
      </c>
      <c r="Y4">
        <v>0</v>
      </c>
      <c r="Z4">
        <v>30000</v>
      </c>
      <c r="AB4" t="s">
        <v>244</v>
      </c>
      <c r="AC4">
        <v>0</v>
      </c>
      <c r="AD4">
        <v>30000</v>
      </c>
      <c r="AG4" t="s">
        <v>244</v>
      </c>
      <c r="AH4">
        <v>0</v>
      </c>
      <c r="AI4">
        <v>30000</v>
      </c>
      <c r="AL4" t="s">
        <v>244</v>
      </c>
      <c r="AM4">
        <v>0</v>
      </c>
      <c r="AN4">
        <v>30000</v>
      </c>
      <c r="AP4" t="s">
        <v>104</v>
      </c>
      <c r="AT4" t="s">
        <v>104</v>
      </c>
      <c r="AX4" t="s">
        <v>104</v>
      </c>
      <c r="BB4" t="s">
        <v>104</v>
      </c>
      <c r="BF4" t="s">
        <v>104</v>
      </c>
      <c r="BJ4" t="s">
        <v>104</v>
      </c>
      <c r="BN4" t="s">
        <v>104</v>
      </c>
      <c r="BR4" t="s">
        <v>104</v>
      </c>
      <c r="BV4" t="s">
        <v>104</v>
      </c>
      <c r="BZ4" t="s">
        <v>104</v>
      </c>
      <c r="CD4" t="s">
        <v>104</v>
      </c>
      <c r="CH4" t="s">
        <v>104</v>
      </c>
    </row>
    <row r="5" spans="1:88" x14ac:dyDescent="0.3">
      <c r="A5" t="s">
        <v>589</v>
      </c>
      <c r="B5" t="s">
        <v>560</v>
      </c>
      <c r="C5" t="s">
        <v>244</v>
      </c>
      <c r="D5">
        <f t="shared" si="0"/>
        <v>0</v>
      </c>
      <c r="E5">
        <f t="shared" si="1"/>
        <v>30000</v>
      </c>
      <c r="F5" s="75">
        <f>SUMIFS(D:D,C:C,G5)-H5</f>
        <v>0</v>
      </c>
      <c r="G5" t="s">
        <v>104</v>
      </c>
      <c r="J5" s="75">
        <f>SUMIFS(E:E,C:C,G5)-I5</f>
        <v>0</v>
      </c>
      <c r="L5" t="s">
        <v>104</v>
      </c>
      <c r="P5" t="s">
        <v>104</v>
      </c>
      <c r="T5" t="s">
        <v>104</v>
      </c>
      <c r="X5" t="s">
        <v>104</v>
      </c>
      <c r="AB5" t="s">
        <v>104</v>
      </c>
      <c r="AC5"/>
      <c r="AD5"/>
      <c r="AG5" t="s">
        <v>104</v>
      </c>
      <c r="AL5" t="s">
        <v>104</v>
      </c>
      <c r="AP5" t="s">
        <v>2</v>
      </c>
      <c r="AQ5">
        <v>1778894.78</v>
      </c>
      <c r="AR5">
        <v>1692700.34</v>
      </c>
      <c r="AT5" t="s">
        <v>2</v>
      </c>
      <c r="AU5">
        <v>1778894.78</v>
      </c>
      <c r="AV5">
        <v>1692700.34</v>
      </c>
      <c r="AX5" t="s">
        <v>2</v>
      </c>
      <c r="AY5">
        <v>1778894.78</v>
      </c>
      <c r="AZ5">
        <v>1692700.34</v>
      </c>
      <c r="BB5" t="s">
        <v>2</v>
      </c>
      <c r="BC5">
        <v>1771253.41</v>
      </c>
      <c r="BD5">
        <v>1632485.94</v>
      </c>
      <c r="BF5" t="s">
        <v>2</v>
      </c>
      <c r="BG5">
        <v>1594310.02</v>
      </c>
      <c r="BH5">
        <v>1462512.03</v>
      </c>
      <c r="BJ5" t="s">
        <v>2</v>
      </c>
      <c r="BK5">
        <v>1551598.45</v>
      </c>
      <c r="BL5">
        <v>1419193.48</v>
      </c>
      <c r="BN5" t="s">
        <v>2</v>
      </c>
      <c r="BO5">
        <v>1474259.44</v>
      </c>
      <c r="BP5">
        <v>1333149.57</v>
      </c>
      <c r="BR5" t="s">
        <v>2</v>
      </c>
      <c r="BS5">
        <v>1320704.6000000001</v>
      </c>
      <c r="BT5">
        <v>1313124.71</v>
      </c>
      <c r="BV5" t="s">
        <v>2</v>
      </c>
      <c r="BW5">
        <v>1320704.6000000001</v>
      </c>
      <c r="BX5">
        <v>1313124.71</v>
      </c>
      <c r="BZ5" t="s">
        <v>348</v>
      </c>
      <c r="CD5" t="s">
        <v>348</v>
      </c>
      <c r="CH5" t="s">
        <v>348</v>
      </c>
    </row>
    <row r="6" spans="1:88" x14ac:dyDescent="0.3">
      <c r="A6" t="s">
        <v>9</v>
      </c>
      <c r="B6" t="s">
        <v>2</v>
      </c>
      <c r="C6" t="s">
        <v>2</v>
      </c>
      <c r="D6">
        <f t="shared" si="0"/>
        <v>1864562.57</v>
      </c>
      <c r="E6">
        <f t="shared" si="1"/>
        <v>1723873.82</v>
      </c>
      <c r="F6" s="75">
        <f t="shared" ref="F6:F37" si="2">SUMIFS(D:D,C:C,G6)-H6</f>
        <v>0</v>
      </c>
      <c r="G6" t="s">
        <v>2</v>
      </c>
      <c r="H6">
        <v>1864562.57</v>
      </c>
      <c r="I6">
        <v>1723873.82</v>
      </c>
      <c r="J6" s="75">
        <f t="shared" ref="J6" si="3">SUMIFS(E:E,C:C,G6)-I6</f>
        <v>0</v>
      </c>
      <c r="L6" t="s">
        <v>2</v>
      </c>
      <c r="M6">
        <v>1864562.57</v>
      </c>
      <c r="N6">
        <v>1723873.82</v>
      </c>
      <c r="P6" t="s">
        <v>2</v>
      </c>
      <c r="Q6">
        <v>1864562.57</v>
      </c>
      <c r="R6">
        <v>1723873.82</v>
      </c>
      <c r="T6" t="s">
        <v>2</v>
      </c>
      <c r="U6">
        <v>1864562.57</v>
      </c>
      <c r="V6">
        <v>1723873.82</v>
      </c>
      <c r="X6" t="s">
        <v>2</v>
      </c>
      <c r="Y6">
        <v>1864562.57</v>
      </c>
      <c r="Z6">
        <v>1723873.82</v>
      </c>
      <c r="AB6" t="s">
        <v>2</v>
      </c>
      <c r="AC6">
        <v>1864562.57</v>
      </c>
      <c r="AD6">
        <v>1723873.82</v>
      </c>
      <c r="AG6" t="s">
        <v>2</v>
      </c>
      <c r="AH6">
        <v>1857543.52</v>
      </c>
      <c r="AI6">
        <v>1723509.03</v>
      </c>
      <c r="AL6" t="s">
        <v>2</v>
      </c>
      <c r="AM6">
        <v>1826497.83</v>
      </c>
      <c r="AN6">
        <v>1700551.87</v>
      </c>
      <c r="AP6" t="s">
        <v>348</v>
      </c>
      <c r="AT6" t="s">
        <v>348</v>
      </c>
      <c r="AX6" t="s">
        <v>348</v>
      </c>
      <c r="BB6" t="s">
        <v>348</v>
      </c>
      <c r="BF6" t="s">
        <v>348</v>
      </c>
      <c r="BJ6" t="s">
        <v>348</v>
      </c>
      <c r="BN6" t="s">
        <v>348</v>
      </c>
      <c r="BQ6">
        <f t="shared" ref="BQ6:BQ37" si="4">SUMIFS(E:E,C:C,G6)-I6</f>
        <v>0</v>
      </c>
      <c r="BR6" t="s">
        <v>348</v>
      </c>
      <c r="BV6" t="s">
        <v>348</v>
      </c>
      <c r="BZ6" t="s">
        <v>106</v>
      </c>
      <c r="CA6">
        <v>150</v>
      </c>
      <c r="CB6">
        <v>1599</v>
      </c>
      <c r="CD6" t="s">
        <v>106</v>
      </c>
      <c r="CE6">
        <v>150</v>
      </c>
      <c r="CF6">
        <v>1599</v>
      </c>
      <c r="CH6" t="s">
        <v>106</v>
      </c>
      <c r="CI6">
        <v>150</v>
      </c>
      <c r="CJ6">
        <v>1599</v>
      </c>
    </row>
    <row r="7" spans="1:88" x14ac:dyDescent="0.3">
      <c r="A7" t="s">
        <v>590</v>
      </c>
      <c r="B7" t="s">
        <v>105</v>
      </c>
      <c r="C7" t="s">
        <v>246</v>
      </c>
      <c r="D7">
        <f t="shared" si="0"/>
        <v>800000</v>
      </c>
      <c r="E7">
        <f t="shared" si="1"/>
        <v>1000000</v>
      </c>
      <c r="F7" s="75">
        <f t="shared" si="2"/>
        <v>0</v>
      </c>
      <c r="G7" t="s">
        <v>348</v>
      </c>
      <c r="J7" s="75">
        <f t="shared" ref="J7:J21" si="5">SUMIFS(E:E,C:C,G7)-I7</f>
        <v>0</v>
      </c>
      <c r="L7" t="s">
        <v>348</v>
      </c>
      <c r="P7" t="s">
        <v>348</v>
      </c>
      <c r="T7" t="s">
        <v>348</v>
      </c>
      <c r="X7" t="s">
        <v>348</v>
      </c>
      <c r="AB7" t="s">
        <v>348</v>
      </c>
      <c r="AC7"/>
      <c r="AD7"/>
      <c r="AG7" t="s">
        <v>348</v>
      </c>
      <c r="AL7" t="s">
        <v>348</v>
      </c>
      <c r="AP7" t="s">
        <v>246</v>
      </c>
      <c r="AQ7">
        <v>600000</v>
      </c>
      <c r="AR7">
        <v>750000</v>
      </c>
      <c r="AT7" t="s">
        <v>246</v>
      </c>
      <c r="AU7">
        <v>600000</v>
      </c>
      <c r="AV7">
        <v>750000</v>
      </c>
      <c r="AX7" t="s">
        <v>246</v>
      </c>
      <c r="AY7">
        <v>600000</v>
      </c>
      <c r="AZ7">
        <v>750000</v>
      </c>
      <c r="BB7" t="s">
        <v>246</v>
      </c>
      <c r="BC7">
        <v>400000</v>
      </c>
      <c r="BD7">
        <v>750000</v>
      </c>
      <c r="BF7" t="s">
        <v>246</v>
      </c>
      <c r="BG7">
        <v>400000</v>
      </c>
      <c r="BH7">
        <v>750000</v>
      </c>
      <c r="BJ7" t="s">
        <v>246</v>
      </c>
      <c r="BK7">
        <v>400000</v>
      </c>
      <c r="BL7">
        <v>500000</v>
      </c>
      <c r="BN7" t="s">
        <v>246</v>
      </c>
      <c r="BO7">
        <v>400000</v>
      </c>
      <c r="BP7">
        <v>500000</v>
      </c>
      <c r="BQ7">
        <f t="shared" si="4"/>
        <v>0</v>
      </c>
      <c r="BR7" t="s">
        <v>246</v>
      </c>
      <c r="BS7">
        <v>400000</v>
      </c>
      <c r="BT7">
        <v>0</v>
      </c>
      <c r="BV7" t="s">
        <v>246</v>
      </c>
      <c r="BW7">
        <v>400000</v>
      </c>
      <c r="BX7">
        <v>0</v>
      </c>
      <c r="BZ7" t="s">
        <v>110</v>
      </c>
      <c r="CA7">
        <v>85.36</v>
      </c>
      <c r="CB7">
        <v>985.33</v>
      </c>
      <c r="CD7" t="s">
        <v>110</v>
      </c>
      <c r="CE7">
        <v>85.36</v>
      </c>
      <c r="CF7">
        <v>985.33</v>
      </c>
      <c r="CH7" t="s">
        <v>110</v>
      </c>
      <c r="CI7">
        <v>85.36</v>
      </c>
      <c r="CJ7">
        <v>985.33</v>
      </c>
    </row>
    <row r="8" spans="1:88" x14ac:dyDescent="0.3">
      <c r="A8" t="s">
        <v>590</v>
      </c>
      <c r="B8" t="s">
        <v>106</v>
      </c>
      <c r="C8" t="s">
        <v>106</v>
      </c>
      <c r="D8">
        <f t="shared" si="0"/>
        <v>38245.760000000002</v>
      </c>
      <c r="E8">
        <f t="shared" si="1"/>
        <v>26996.06</v>
      </c>
      <c r="F8" s="75">
        <f t="shared" si="2"/>
        <v>0</v>
      </c>
      <c r="G8" t="s">
        <v>246</v>
      </c>
      <c r="H8">
        <v>800000</v>
      </c>
      <c r="I8">
        <v>1000000</v>
      </c>
      <c r="J8" s="75">
        <f t="shared" si="5"/>
        <v>0</v>
      </c>
      <c r="L8" t="s">
        <v>246</v>
      </c>
      <c r="M8">
        <v>800000</v>
      </c>
      <c r="N8">
        <v>1000000</v>
      </c>
      <c r="P8" t="s">
        <v>246</v>
      </c>
      <c r="Q8">
        <v>800000</v>
      </c>
      <c r="R8">
        <v>1000000</v>
      </c>
      <c r="T8" t="s">
        <v>246</v>
      </c>
      <c r="U8">
        <v>800000</v>
      </c>
      <c r="V8">
        <v>1000000</v>
      </c>
      <c r="X8" t="s">
        <v>246</v>
      </c>
      <c r="Y8">
        <v>800000</v>
      </c>
      <c r="Z8">
        <v>1000000</v>
      </c>
      <c r="AB8" t="s">
        <v>246</v>
      </c>
      <c r="AC8">
        <v>800000</v>
      </c>
      <c r="AD8">
        <v>1000000</v>
      </c>
      <c r="AG8" t="s">
        <v>246</v>
      </c>
      <c r="AH8">
        <v>800000</v>
      </c>
      <c r="AI8">
        <v>1000000</v>
      </c>
      <c r="AL8" t="s">
        <v>246</v>
      </c>
      <c r="AM8">
        <v>600000</v>
      </c>
      <c r="AN8">
        <v>750000</v>
      </c>
      <c r="AP8" t="s">
        <v>106</v>
      </c>
      <c r="AQ8">
        <v>25533.45</v>
      </c>
      <c r="AR8">
        <v>20270.060000000001</v>
      </c>
      <c r="AT8" t="s">
        <v>106</v>
      </c>
      <c r="AU8">
        <v>25533.45</v>
      </c>
      <c r="AV8">
        <v>20270.060000000001</v>
      </c>
      <c r="AX8" t="s">
        <v>106</v>
      </c>
      <c r="AY8">
        <v>25533.45</v>
      </c>
      <c r="AZ8">
        <v>20270.060000000001</v>
      </c>
      <c r="BB8" t="s">
        <v>106</v>
      </c>
      <c r="BC8">
        <v>22687.75</v>
      </c>
      <c r="BD8">
        <v>18549.060000000001</v>
      </c>
      <c r="BF8" t="s">
        <v>106</v>
      </c>
      <c r="BG8">
        <v>20352.75</v>
      </c>
      <c r="BH8">
        <v>15245.94</v>
      </c>
      <c r="BJ8" t="s">
        <v>106</v>
      </c>
      <c r="BK8">
        <v>14134.75</v>
      </c>
      <c r="BL8">
        <v>11173.46</v>
      </c>
      <c r="BN8" t="s">
        <v>106</v>
      </c>
      <c r="BO8">
        <v>12105.75</v>
      </c>
      <c r="BP8">
        <v>7641.01</v>
      </c>
      <c r="BQ8">
        <f t="shared" si="4"/>
        <v>0</v>
      </c>
      <c r="BR8" t="s">
        <v>106</v>
      </c>
      <c r="BS8">
        <v>5280</v>
      </c>
      <c r="BT8">
        <v>4887.01</v>
      </c>
      <c r="BV8" t="s">
        <v>106</v>
      </c>
      <c r="BW8">
        <v>5280</v>
      </c>
      <c r="BX8">
        <v>4887.01</v>
      </c>
      <c r="BZ8" t="s">
        <v>109</v>
      </c>
      <c r="CA8">
        <v>3329.75</v>
      </c>
      <c r="CB8">
        <v>13789.42</v>
      </c>
      <c r="CD8" t="s">
        <v>109</v>
      </c>
      <c r="CE8">
        <v>3329.75</v>
      </c>
      <c r="CF8">
        <v>13789.42</v>
      </c>
      <c r="CH8" t="s">
        <v>109</v>
      </c>
      <c r="CI8">
        <v>3329.75</v>
      </c>
      <c r="CJ8">
        <v>13789.42</v>
      </c>
    </row>
    <row r="9" spans="1:88" x14ac:dyDescent="0.3">
      <c r="A9" t="s">
        <v>590</v>
      </c>
      <c r="B9" t="s">
        <v>107</v>
      </c>
      <c r="C9" t="s">
        <v>107</v>
      </c>
      <c r="D9">
        <f t="shared" si="0"/>
        <v>7012</v>
      </c>
      <c r="E9">
        <f t="shared" si="1"/>
        <v>6000</v>
      </c>
      <c r="F9" s="75">
        <f t="shared" si="2"/>
        <v>0</v>
      </c>
      <c r="G9" t="s">
        <v>106</v>
      </c>
      <c r="H9">
        <v>38245.760000000002</v>
      </c>
      <c r="I9">
        <v>26996.06</v>
      </c>
      <c r="J9" s="75">
        <f t="shared" si="5"/>
        <v>0</v>
      </c>
      <c r="L9" t="s">
        <v>106</v>
      </c>
      <c r="M9">
        <v>38245.760000000002</v>
      </c>
      <c r="N9">
        <v>26996.06</v>
      </c>
      <c r="P9" t="s">
        <v>106</v>
      </c>
      <c r="Q9">
        <v>38229.47</v>
      </c>
      <c r="R9">
        <v>26996.06</v>
      </c>
      <c r="T9" t="s">
        <v>106</v>
      </c>
      <c r="U9">
        <v>38229.47</v>
      </c>
      <c r="V9">
        <v>26996.06</v>
      </c>
      <c r="X9" t="s">
        <v>106</v>
      </c>
      <c r="Y9">
        <v>38229.47</v>
      </c>
      <c r="Z9">
        <v>26996.06</v>
      </c>
      <c r="AB9" t="s">
        <v>106</v>
      </c>
      <c r="AC9">
        <v>30770.76</v>
      </c>
      <c r="AD9">
        <v>23253.06</v>
      </c>
      <c r="AG9" t="s">
        <v>106</v>
      </c>
      <c r="AH9">
        <v>30395.759999999998</v>
      </c>
      <c r="AI9">
        <v>23118.06</v>
      </c>
      <c r="AL9" t="s">
        <v>106</v>
      </c>
      <c r="AM9">
        <v>27837.759999999998</v>
      </c>
      <c r="AN9">
        <v>21595.06</v>
      </c>
      <c r="AP9" t="s">
        <v>110</v>
      </c>
      <c r="AQ9">
        <v>12589</v>
      </c>
      <c r="AR9">
        <v>8046.71</v>
      </c>
      <c r="AT9" t="s">
        <v>110</v>
      </c>
      <c r="AU9">
        <v>12589</v>
      </c>
      <c r="AV9">
        <v>8046.71</v>
      </c>
      <c r="AX9" t="s">
        <v>110</v>
      </c>
      <c r="AY9">
        <v>12589</v>
      </c>
      <c r="AZ9">
        <v>8046.71</v>
      </c>
      <c r="BB9" t="s">
        <v>110</v>
      </c>
      <c r="BC9">
        <v>11705.81</v>
      </c>
      <c r="BD9">
        <v>8539.7999999999993</v>
      </c>
      <c r="BF9" t="s">
        <v>110</v>
      </c>
      <c r="BG9">
        <v>10919.45</v>
      </c>
      <c r="BH9">
        <v>7409.12</v>
      </c>
      <c r="BJ9" t="s">
        <v>110</v>
      </c>
      <c r="BK9">
        <v>7419.94</v>
      </c>
      <c r="BL9">
        <v>7253.51</v>
      </c>
      <c r="BN9" t="s">
        <v>110</v>
      </c>
      <c r="BO9">
        <v>5424.75</v>
      </c>
      <c r="BP9">
        <v>9815.6200000000008</v>
      </c>
      <c r="BQ9">
        <f t="shared" si="4"/>
        <v>0</v>
      </c>
      <c r="BR9" t="s">
        <v>110</v>
      </c>
      <c r="BS9">
        <v>1834.77</v>
      </c>
      <c r="BT9">
        <v>2246.73</v>
      </c>
      <c r="BV9" t="s">
        <v>110</v>
      </c>
      <c r="BW9">
        <v>1834.77</v>
      </c>
      <c r="BX9">
        <v>2246.73</v>
      </c>
      <c r="BZ9" t="s">
        <v>108</v>
      </c>
      <c r="CA9">
        <v>9590.66</v>
      </c>
      <c r="CB9">
        <v>8240</v>
      </c>
      <c r="CD9" t="s">
        <v>108</v>
      </c>
      <c r="CE9">
        <v>9590.66</v>
      </c>
      <c r="CF9">
        <v>8240</v>
      </c>
      <c r="CH9" t="s">
        <v>108</v>
      </c>
      <c r="CI9">
        <v>9590.66</v>
      </c>
      <c r="CJ9">
        <v>8240</v>
      </c>
    </row>
    <row r="10" spans="1:88" x14ac:dyDescent="0.3">
      <c r="A10" t="s">
        <v>590</v>
      </c>
      <c r="B10" t="s">
        <v>108</v>
      </c>
      <c r="C10" t="s">
        <v>108</v>
      </c>
      <c r="D10">
        <f t="shared" si="0"/>
        <v>71416.02</v>
      </c>
      <c r="E10">
        <f t="shared" si="1"/>
        <v>59326.04</v>
      </c>
      <c r="F10" s="75">
        <f t="shared" si="2"/>
        <v>0</v>
      </c>
      <c r="G10" t="s">
        <v>110</v>
      </c>
      <c r="H10">
        <v>15546.82</v>
      </c>
      <c r="I10">
        <v>10257.89</v>
      </c>
      <c r="J10" s="75">
        <f t="shared" si="5"/>
        <v>0</v>
      </c>
      <c r="L10" t="s">
        <v>110</v>
      </c>
      <c r="M10">
        <v>15546.82</v>
      </c>
      <c r="N10">
        <v>10257.89</v>
      </c>
      <c r="P10" t="s">
        <v>110</v>
      </c>
      <c r="Q10">
        <v>15528.88</v>
      </c>
      <c r="R10">
        <v>10257.89</v>
      </c>
      <c r="T10" t="s">
        <v>110</v>
      </c>
      <c r="U10">
        <v>15528.88</v>
      </c>
      <c r="V10">
        <v>10257.89</v>
      </c>
      <c r="X10" t="s">
        <v>110</v>
      </c>
      <c r="Y10">
        <v>15528.88</v>
      </c>
      <c r="Z10">
        <v>10257.89</v>
      </c>
      <c r="AB10" t="s">
        <v>110</v>
      </c>
      <c r="AC10">
        <v>15158.47</v>
      </c>
      <c r="AD10">
        <v>10583.19</v>
      </c>
      <c r="AG10" t="s">
        <v>110</v>
      </c>
      <c r="AH10">
        <v>14243.63</v>
      </c>
      <c r="AI10">
        <v>8641.68</v>
      </c>
      <c r="AL10" t="s">
        <v>110</v>
      </c>
      <c r="AM10">
        <v>12995.01</v>
      </c>
      <c r="AN10">
        <v>9075.08</v>
      </c>
      <c r="AP10" t="s">
        <v>109</v>
      </c>
      <c r="AQ10">
        <v>176754.94</v>
      </c>
      <c r="AR10">
        <v>79853.7</v>
      </c>
      <c r="AT10" t="s">
        <v>109</v>
      </c>
      <c r="AU10">
        <v>176754.94</v>
      </c>
      <c r="AV10">
        <v>79853.7</v>
      </c>
      <c r="AX10" t="s">
        <v>109</v>
      </c>
      <c r="AY10">
        <v>157233.13</v>
      </c>
      <c r="AZ10">
        <v>79853.7</v>
      </c>
      <c r="BB10" t="s">
        <v>109</v>
      </c>
      <c r="BC10">
        <v>134605.15</v>
      </c>
      <c r="BD10">
        <v>64769.01</v>
      </c>
      <c r="BF10" t="s">
        <v>109</v>
      </c>
      <c r="BG10">
        <v>105033.71</v>
      </c>
      <c r="BH10">
        <v>61484.05</v>
      </c>
      <c r="BJ10" t="s">
        <v>109</v>
      </c>
      <c r="BK10">
        <v>78110.16</v>
      </c>
      <c r="BL10">
        <v>91426.97</v>
      </c>
      <c r="BN10" t="s">
        <v>109</v>
      </c>
      <c r="BO10">
        <v>60462.29</v>
      </c>
      <c r="BP10">
        <v>49108.7</v>
      </c>
      <c r="BQ10">
        <f t="shared" si="4"/>
        <v>0</v>
      </c>
      <c r="BR10" t="s">
        <v>109</v>
      </c>
      <c r="BS10">
        <v>35849.68</v>
      </c>
      <c r="BT10">
        <v>42611.62</v>
      </c>
      <c r="BV10" t="s">
        <v>109</v>
      </c>
      <c r="BW10">
        <v>35849.68</v>
      </c>
      <c r="BX10">
        <v>42611.62</v>
      </c>
      <c r="BZ10" t="s">
        <v>247</v>
      </c>
      <c r="CA10">
        <v>225203</v>
      </c>
      <c r="CB10">
        <v>233482</v>
      </c>
      <c r="CD10" t="s">
        <v>247</v>
      </c>
      <c r="CE10">
        <v>0</v>
      </c>
      <c r="CF10">
        <v>233482</v>
      </c>
      <c r="CH10" t="s">
        <v>247</v>
      </c>
      <c r="CI10">
        <v>0</v>
      </c>
      <c r="CJ10">
        <v>233482</v>
      </c>
    </row>
    <row r="11" spans="1:88" x14ac:dyDescent="0.3">
      <c r="A11" t="s">
        <v>590</v>
      </c>
      <c r="B11" t="s">
        <v>109</v>
      </c>
      <c r="C11" t="s">
        <v>109</v>
      </c>
      <c r="D11">
        <f t="shared" si="0"/>
        <v>310522.74</v>
      </c>
      <c r="E11">
        <f t="shared" si="1"/>
        <v>153311.01999999999</v>
      </c>
      <c r="F11" s="75">
        <f t="shared" si="2"/>
        <v>0</v>
      </c>
      <c r="G11" t="s">
        <v>109</v>
      </c>
      <c r="H11">
        <v>310522.74</v>
      </c>
      <c r="I11">
        <v>153311.01999999999</v>
      </c>
      <c r="J11" s="75">
        <f t="shared" si="5"/>
        <v>0</v>
      </c>
      <c r="L11" t="s">
        <v>109</v>
      </c>
      <c r="M11">
        <v>310522.74</v>
      </c>
      <c r="N11">
        <v>153311.01999999999</v>
      </c>
      <c r="P11" t="s">
        <v>109</v>
      </c>
      <c r="Q11">
        <v>319389.42</v>
      </c>
      <c r="R11">
        <v>153311.01999999999</v>
      </c>
      <c r="T11" t="s">
        <v>109</v>
      </c>
      <c r="U11">
        <v>319389.42</v>
      </c>
      <c r="V11">
        <v>153311.01999999999</v>
      </c>
      <c r="X11" t="s">
        <v>109</v>
      </c>
      <c r="Y11">
        <v>319389.42</v>
      </c>
      <c r="Z11">
        <v>153311.01999999999</v>
      </c>
      <c r="AB11" t="s">
        <v>109</v>
      </c>
      <c r="AC11">
        <v>316459.5</v>
      </c>
      <c r="AD11">
        <v>124294.57</v>
      </c>
      <c r="AG11" t="s">
        <v>109</v>
      </c>
      <c r="AH11">
        <v>255904.93</v>
      </c>
      <c r="AI11">
        <v>101450.88</v>
      </c>
      <c r="AL11" t="s">
        <v>109</v>
      </c>
      <c r="AM11">
        <v>223197.93</v>
      </c>
      <c r="AN11">
        <v>87522.240000000005</v>
      </c>
      <c r="AP11" t="s">
        <v>107</v>
      </c>
      <c r="AQ11">
        <v>7000</v>
      </c>
      <c r="AR11">
        <v>1000</v>
      </c>
      <c r="AT11" t="s">
        <v>107</v>
      </c>
      <c r="AU11">
        <v>7000</v>
      </c>
      <c r="AV11">
        <v>1000</v>
      </c>
      <c r="AX11" t="s">
        <v>107</v>
      </c>
      <c r="AY11">
        <v>7000</v>
      </c>
      <c r="AZ11">
        <v>1000</v>
      </c>
      <c r="BB11" t="s">
        <v>107</v>
      </c>
      <c r="BC11">
        <v>3000</v>
      </c>
      <c r="BD11">
        <v>1000</v>
      </c>
      <c r="BF11" t="s">
        <v>107</v>
      </c>
      <c r="BG11">
        <v>3000</v>
      </c>
      <c r="BH11">
        <v>1000</v>
      </c>
      <c r="BJ11" t="s">
        <v>107</v>
      </c>
      <c r="BK11">
        <v>1000</v>
      </c>
      <c r="BL11">
        <v>0</v>
      </c>
      <c r="BN11" t="s">
        <v>107</v>
      </c>
      <c r="BO11">
        <v>1000</v>
      </c>
      <c r="BP11">
        <v>0</v>
      </c>
      <c r="BQ11">
        <f t="shared" si="4"/>
        <v>0</v>
      </c>
      <c r="BR11" t="s">
        <v>107</v>
      </c>
      <c r="BS11">
        <v>1000</v>
      </c>
      <c r="BT11">
        <v>0</v>
      </c>
      <c r="BV11" t="s">
        <v>107</v>
      </c>
      <c r="BW11">
        <v>1000</v>
      </c>
      <c r="BX11">
        <v>0</v>
      </c>
      <c r="BZ11" t="s">
        <v>349</v>
      </c>
      <c r="CA11">
        <v>238358.77</v>
      </c>
      <c r="CB11">
        <v>258095.75</v>
      </c>
      <c r="CD11" t="s">
        <v>349</v>
      </c>
      <c r="CE11">
        <v>13155.77</v>
      </c>
      <c r="CF11">
        <v>258095.75</v>
      </c>
      <c r="CH11" t="s">
        <v>349</v>
      </c>
      <c r="CI11">
        <v>13155.77</v>
      </c>
      <c r="CJ11">
        <v>258095.75</v>
      </c>
    </row>
    <row r="12" spans="1:88" x14ac:dyDescent="0.3">
      <c r="A12" t="s">
        <v>590</v>
      </c>
      <c r="B12" t="s">
        <v>110</v>
      </c>
      <c r="C12" t="s">
        <v>110</v>
      </c>
      <c r="D12">
        <f t="shared" si="0"/>
        <v>15546.82</v>
      </c>
      <c r="E12">
        <f t="shared" si="1"/>
        <v>10257.89</v>
      </c>
      <c r="F12" s="75">
        <f t="shared" si="2"/>
        <v>0</v>
      </c>
      <c r="G12" t="s">
        <v>107</v>
      </c>
      <c r="H12">
        <v>7012</v>
      </c>
      <c r="I12">
        <v>6000</v>
      </c>
      <c r="J12" s="75">
        <f t="shared" si="5"/>
        <v>0</v>
      </c>
      <c r="L12" t="s">
        <v>107</v>
      </c>
      <c r="M12">
        <v>7012</v>
      </c>
      <c r="N12">
        <v>6000</v>
      </c>
      <c r="P12" t="s">
        <v>107</v>
      </c>
      <c r="Q12">
        <v>7012</v>
      </c>
      <c r="R12">
        <v>6000</v>
      </c>
      <c r="T12" t="s">
        <v>107</v>
      </c>
      <c r="U12">
        <v>7012</v>
      </c>
      <c r="V12">
        <v>6000</v>
      </c>
      <c r="X12" t="s">
        <v>107</v>
      </c>
      <c r="Y12">
        <v>7012</v>
      </c>
      <c r="Z12">
        <v>6000</v>
      </c>
      <c r="AB12" t="s">
        <v>107</v>
      </c>
      <c r="AC12">
        <v>7012</v>
      </c>
      <c r="AD12">
        <v>1000</v>
      </c>
      <c r="AG12" t="s">
        <v>107</v>
      </c>
      <c r="AH12">
        <v>7012</v>
      </c>
      <c r="AI12">
        <v>1000</v>
      </c>
      <c r="AL12" t="s">
        <v>107</v>
      </c>
      <c r="AM12">
        <v>7000</v>
      </c>
      <c r="AN12">
        <v>1000</v>
      </c>
      <c r="AP12" t="s">
        <v>108</v>
      </c>
      <c r="AQ12">
        <v>63693.74</v>
      </c>
      <c r="AR12">
        <v>53088.1</v>
      </c>
      <c r="AT12" t="s">
        <v>108</v>
      </c>
      <c r="AU12">
        <v>63693.74</v>
      </c>
      <c r="AV12">
        <v>53088.1</v>
      </c>
      <c r="AX12" t="s">
        <v>108</v>
      </c>
      <c r="AY12">
        <v>63693.74</v>
      </c>
      <c r="AZ12">
        <v>53088.1</v>
      </c>
      <c r="BB12" t="s">
        <v>108</v>
      </c>
      <c r="BC12">
        <v>59331.74</v>
      </c>
      <c r="BD12">
        <v>50338.1</v>
      </c>
      <c r="BF12" t="s">
        <v>108</v>
      </c>
      <c r="BG12">
        <v>51490.74</v>
      </c>
      <c r="BH12">
        <v>39938.1</v>
      </c>
      <c r="BJ12" t="s">
        <v>108</v>
      </c>
      <c r="BK12">
        <v>44157.24</v>
      </c>
      <c r="BL12">
        <v>38243.1</v>
      </c>
      <c r="BN12" t="s">
        <v>108</v>
      </c>
      <c r="BO12">
        <v>36762.839999999997</v>
      </c>
      <c r="BP12">
        <v>28293.1</v>
      </c>
      <c r="BQ12">
        <f t="shared" si="4"/>
        <v>0</v>
      </c>
      <c r="BR12" t="s">
        <v>108</v>
      </c>
      <c r="BS12">
        <v>31468.91</v>
      </c>
      <c r="BT12">
        <v>20518.099999999999</v>
      </c>
      <c r="BV12" t="s">
        <v>108</v>
      </c>
      <c r="BW12">
        <v>31468.91</v>
      </c>
      <c r="BX12">
        <v>20518.099999999999</v>
      </c>
      <c r="BZ12" t="s">
        <v>248</v>
      </c>
      <c r="CA12">
        <v>975</v>
      </c>
      <c r="CB12">
        <v>0</v>
      </c>
      <c r="CD12" t="s">
        <v>248</v>
      </c>
      <c r="CE12">
        <v>975</v>
      </c>
      <c r="CF12">
        <v>0</v>
      </c>
      <c r="CH12" t="s">
        <v>248</v>
      </c>
      <c r="CI12">
        <v>975</v>
      </c>
      <c r="CJ12">
        <v>0</v>
      </c>
    </row>
    <row r="13" spans="1:88" x14ac:dyDescent="0.3">
      <c r="B13" t="s">
        <v>111</v>
      </c>
      <c r="C13" t="s">
        <v>247</v>
      </c>
      <c r="D13">
        <f t="shared" si="0"/>
        <v>225203</v>
      </c>
      <c r="E13">
        <f t="shared" si="1"/>
        <v>233482</v>
      </c>
      <c r="F13" s="75">
        <f t="shared" si="2"/>
        <v>0</v>
      </c>
      <c r="G13" t="s">
        <v>108</v>
      </c>
      <c r="H13">
        <v>71416.02</v>
      </c>
      <c r="I13">
        <v>59326.04</v>
      </c>
      <c r="J13" s="75">
        <f t="shared" si="5"/>
        <v>0</v>
      </c>
      <c r="L13" t="s">
        <v>108</v>
      </c>
      <c r="M13">
        <v>71416.02</v>
      </c>
      <c r="N13">
        <v>59326.04</v>
      </c>
      <c r="P13" t="s">
        <v>108</v>
      </c>
      <c r="Q13">
        <v>71416.02</v>
      </c>
      <c r="R13">
        <v>59326.04</v>
      </c>
      <c r="T13" t="s">
        <v>108</v>
      </c>
      <c r="U13">
        <v>71416.02</v>
      </c>
      <c r="V13">
        <v>59326.04</v>
      </c>
      <c r="X13" t="s">
        <v>108</v>
      </c>
      <c r="Y13">
        <v>71416.02</v>
      </c>
      <c r="Z13">
        <v>59326.04</v>
      </c>
      <c r="AB13" t="s">
        <v>108</v>
      </c>
      <c r="AC13">
        <v>67295.240000000005</v>
      </c>
      <c r="AD13">
        <v>63022.22</v>
      </c>
      <c r="AG13" t="s">
        <v>108</v>
      </c>
      <c r="AH13">
        <v>65194.74</v>
      </c>
      <c r="AI13">
        <v>63413.1</v>
      </c>
      <c r="AL13" t="s">
        <v>108</v>
      </c>
      <c r="AM13">
        <v>64094.74</v>
      </c>
      <c r="AN13">
        <v>58938.1</v>
      </c>
      <c r="AP13" t="s">
        <v>247</v>
      </c>
      <c r="AQ13">
        <v>225203</v>
      </c>
      <c r="AR13">
        <v>233482</v>
      </c>
      <c r="AT13" t="s">
        <v>247</v>
      </c>
      <c r="AU13">
        <v>225203</v>
      </c>
      <c r="AV13">
        <v>233482</v>
      </c>
      <c r="AX13" t="s">
        <v>247</v>
      </c>
      <c r="AY13">
        <v>225203</v>
      </c>
      <c r="AZ13">
        <v>233482</v>
      </c>
      <c r="BB13" t="s">
        <v>247</v>
      </c>
      <c r="BC13">
        <v>225203</v>
      </c>
      <c r="BD13">
        <v>233482</v>
      </c>
      <c r="BF13" t="s">
        <v>247</v>
      </c>
      <c r="BG13">
        <v>225203</v>
      </c>
      <c r="BH13">
        <v>233482</v>
      </c>
      <c r="BJ13" t="s">
        <v>247</v>
      </c>
      <c r="BK13">
        <v>225203</v>
      </c>
      <c r="BL13">
        <v>233482</v>
      </c>
      <c r="BN13" t="s">
        <v>247</v>
      </c>
      <c r="BO13">
        <v>225203</v>
      </c>
      <c r="BP13">
        <v>233482</v>
      </c>
      <c r="BQ13">
        <f t="shared" si="4"/>
        <v>0</v>
      </c>
      <c r="BR13" t="s">
        <v>247</v>
      </c>
      <c r="BS13">
        <v>225203</v>
      </c>
      <c r="BT13">
        <v>233482</v>
      </c>
      <c r="BV13" t="s">
        <v>247</v>
      </c>
      <c r="BW13">
        <v>225203</v>
      </c>
      <c r="BX13">
        <v>233482</v>
      </c>
      <c r="BZ13" t="s">
        <v>249</v>
      </c>
      <c r="CA13">
        <v>85.66</v>
      </c>
      <c r="CB13">
        <v>0</v>
      </c>
      <c r="CD13" t="s">
        <v>249</v>
      </c>
      <c r="CE13">
        <v>85.66</v>
      </c>
      <c r="CF13">
        <v>0</v>
      </c>
      <c r="CH13" t="s">
        <v>249</v>
      </c>
      <c r="CI13">
        <v>85.66</v>
      </c>
      <c r="CJ13">
        <v>0</v>
      </c>
    </row>
    <row r="14" spans="1:88" x14ac:dyDescent="0.3">
      <c r="A14" t="s">
        <v>9</v>
      </c>
      <c r="B14" t="s">
        <v>7</v>
      </c>
      <c r="C14" t="s">
        <v>248</v>
      </c>
      <c r="D14">
        <f t="shared" si="0"/>
        <v>975</v>
      </c>
      <c r="E14">
        <f t="shared" si="1"/>
        <v>9000</v>
      </c>
      <c r="F14" s="75">
        <f t="shared" si="2"/>
        <v>0</v>
      </c>
      <c r="G14" t="s">
        <v>247</v>
      </c>
      <c r="H14">
        <v>225203</v>
      </c>
      <c r="I14">
        <v>233482</v>
      </c>
      <c r="J14" s="75">
        <f t="shared" si="5"/>
        <v>0</v>
      </c>
      <c r="L14" t="s">
        <v>247</v>
      </c>
      <c r="M14">
        <v>225203</v>
      </c>
      <c r="N14">
        <v>233482</v>
      </c>
      <c r="P14" t="s">
        <v>247</v>
      </c>
      <c r="Q14">
        <v>225203</v>
      </c>
      <c r="R14">
        <v>233482</v>
      </c>
      <c r="T14" t="s">
        <v>247</v>
      </c>
      <c r="U14">
        <v>225203</v>
      </c>
      <c r="V14">
        <v>233482</v>
      </c>
      <c r="X14" t="s">
        <v>247</v>
      </c>
      <c r="Y14">
        <v>225203</v>
      </c>
      <c r="Z14">
        <v>233482</v>
      </c>
      <c r="AB14" t="s">
        <v>247</v>
      </c>
      <c r="AC14">
        <v>225203</v>
      </c>
      <c r="AD14">
        <v>233482</v>
      </c>
      <c r="AG14" t="s">
        <v>247</v>
      </c>
      <c r="AH14">
        <v>225203</v>
      </c>
      <c r="AI14">
        <v>233482</v>
      </c>
      <c r="AL14" t="s">
        <v>247</v>
      </c>
      <c r="AM14">
        <v>225203</v>
      </c>
      <c r="AN14">
        <v>233482</v>
      </c>
      <c r="AP14" t="s">
        <v>349</v>
      </c>
      <c r="AQ14">
        <v>1110774.1299999999</v>
      </c>
      <c r="AR14">
        <v>1145740.57</v>
      </c>
      <c r="AT14" t="s">
        <v>349</v>
      </c>
      <c r="AU14">
        <v>1110774.1299999999</v>
      </c>
      <c r="AV14">
        <v>1145740.57</v>
      </c>
      <c r="AX14" t="s">
        <v>349</v>
      </c>
      <c r="AY14">
        <v>1091252.32</v>
      </c>
      <c r="AZ14">
        <v>1145740.57</v>
      </c>
      <c r="BB14" t="s">
        <v>349</v>
      </c>
      <c r="BC14">
        <v>856533.45</v>
      </c>
      <c r="BD14">
        <v>1126677.97</v>
      </c>
      <c r="BF14" t="s">
        <v>349</v>
      </c>
      <c r="BG14">
        <v>815999.65</v>
      </c>
      <c r="BH14">
        <v>1108559.21</v>
      </c>
      <c r="BJ14" t="s">
        <v>349</v>
      </c>
      <c r="BK14">
        <v>770025.09</v>
      </c>
      <c r="BL14">
        <v>881579.04</v>
      </c>
      <c r="BN14" t="s">
        <v>349</v>
      </c>
      <c r="BO14">
        <v>740958.63</v>
      </c>
      <c r="BP14">
        <v>828340.43</v>
      </c>
      <c r="BQ14">
        <f t="shared" si="4"/>
        <v>0</v>
      </c>
      <c r="BR14" t="s">
        <v>349</v>
      </c>
      <c r="BS14">
        <v>700636.36</v>
      </c>
      <c r="BT14">
        <v>303745.46000000002</v>
      </c>
      <c r="BV14" t="s">
        <v>349</v>
      </c>
      <c r="BW14">
        <v>700636.36</v>
      </c>
      <c r="BX14">
        <v>303745.46000000002</v>
      </c>
      <c r="BZ14" t="s">
        <v>250</v>
      </c>
      <c r="CA14">
        <v>1990.21</v>
      </c>
      <c r="CB14">
        <v>1705.04</v>
      </c>
      <c r="CD14" t="s">
        <v>250</v>
      </c>
      <c r="CE14">
        <v>1990.21</v>
      </c>
      <c r="CF14">
        <v>1705.04</v>
      </c>
      <c r="CH14" t="s">
        <v>250</v>
      </c>
      <c r="CI14">
        <v>1990.21</v>
      </c>
      <c r="CJ14">
        <v>1705.04</v>
      </c>
    </row>
    <row r="15" spans="1:88" x14ac:dyDescent="0.3">
      <c r="A15" t="s">
        <v>9</v>
      </c>
      <c r="B15" t="s">
        <v>3</v>
      </c>
      <c r="C15" t="s">
        <v>249</v>
      </c>
      <c r="D15">
        <f t="shared" si="0"/>
        <v>2801.55</v>
      </c>
      <c r="E15">
        <f t="shared" si="1"/>
        <v>2673.18</v>
      </c>
      <c r="F15" s="75">
        <f t="shared" si="2"/>
        <v>-1467946.34</v>
      </c>
      <c r="G15" t="s">
        <v>349</v>
      </c>
      <c r="H15">
        <v>1467946.34</v>
      </c>
      <c r="I15">
        <v>1489373.01</v>
      </c>
      <c r="J15" s="75">
        <f t="shared" si="5"/>
        <v>-1489373.01</v>
      </c>
      <c r="L15" t="s">
        <v>349</v>
      </c>
      <c r="M15">
        <v>1467946.34</v>
      </c>
      <c r="N15">
        <v>1489373.01</v>
      </c>
      <c r="P15" t="s">
        <v>349</v>
      </c>
      <c r="Q15">
        <v>1476778.79</v>
      </c>
      <c r="R15">
        <v>1489373.01</v>
      </c>
      <c r="T15" t="s">
        <v>349</v>
      </c>
      <c r="U15">
        <v>1476778.79</v>
      </c>
      <c r="V15">
        <v>1489373.01</v>
      </c>
      <c r="X15" t="s">
        <v>349</v>
      </c>
      <c r="Y15">
        <v>1476778.79</v>
      </c>
      <c r="Z15">
        <v>1489373.01</v>
      </c>
      <c r="AB15" t="s">
        <v>349</v>
      </c>
      <c r="AC15">
        <v>1461898.97</v>
      </c>
      <c r="AD15">
        <v>1455635.04</v>
      </c>
      <c r="AG15" t="s">
        <v>349</v>
      </c>
      <c r="AH15">
        <v>1397954.06</v>
      </c>
      <c r="AI15">
        <v>1431105.72</v>
      </c>
      <c r="AL15" t="s">
        <v>349</v>
      </c>
      <c r="AM15">
        <v>1160328.44</v>
      </c>
      <c r="AN15">
        <v>1161612.48</v>
      </c>
      <c r="AP15" t="s">
        <v>248</v>
      </c>
      <c r="AQ15">
        <v>975</v>
      </c>
      <c r="AR15">
        <v>0</v>
      </c>
      <c r="AT15" t="s">
        <v>248</v>
      </c>
      <c r="AU15">
        <v>975</v>
      </c>
      <c r="AV15">
        <v>0</v>
      </c>
      <c r="AX15" t="s">
        <v>248</v>
      </c>
      <c r="AY15">
        <v>975</v>
      </c>
      <c r="AZ15">
        <v>0</v>
      </c>
      <c r="BB15" t="s">
        <v>248</v>
      </c>
      <c r="BC15">
        <v>975</v>
      </c>
      <c r="BD15">
        <v>0</v>
      </c>
      <c r="BF15" t="s">
        <v>248</v>
      </c>
      <c r="BG15">
        <v>975</v>
      </c>
      <c r="BH15">
        <v>0</v>
      </c>
      <c r="BJ15" t="s">
        <v>248</v>
      </c>
      <c r="BK15">
        <v>975</v>
      </c>
      <c r="BL15">
        <v>0</v>
      </c>
      <c r="BN15" t="s">
        <v>248</v>
      </c>
      <c r="BO15">
        <v>975</v>
      </c>
      <c r="BP15">
        <v>0</v>
      </c>
      <c r="BQ15">
        <f t="shared" si="4"/>
        <v>-1489373.01</v>
      </c>
      <c r="BR15" t="s">
        <v>248</v>
      </c>
      <c r="BS15">
        <v>975</v>
      </c>
      <c r="BT15">
        <v>0</v>
      </c>
      <c r="BV15" t="s">
        <v>248</v>
      </c>
      <c r="BW15">
        <v>975</v>
      </c>
      <c r="BX15">
        <v>0</v>
      </c>
      <c r="BZ15" t="s">
        <v>251</v>
      </c>
      <c r="CA15">
        <v>3600</v>
      </c>
      <c r="CB15">
        <v>0</v>
      </c>
      <c r="CD15" t="s">
        <v>251</v>
      </c>
      <c r="CE15">
        <v>3600</v>
      </c>
      <c r="CF15">
        <v>0</v>
      </c>
      <c r="CH15" t="s">
        <v>251</v>
      </c>
      <c r="CI15">
        <v>3600</v>
      </c>
      <c r="CJ15">
        <v>0</v>
      </c>
    </row>
    <row r="16" spans="1:88" x14ac:dyDescent="0.3">
      <c r="A16" t="s">
        <v>9</v>
      </c>
      <c r="B16" t="s">
        <v>6</v>
      </c>
      <c r="C16" t="s">
        <v>250</v>
      </c>
      <c r="D16">
        <f t="shared" si="0"/>
        <v>17730.16</v>
      </c>
      <c r="E16">
        <f t="shared" si="1"/>
        <v>23482.54</v>
      </c>
      <c r="F16" s="75">
        <f t="shared" si="2"/>
        <v>0</v>
      </c>
      <c r="G16" t="s">
        <v>248</v>
      </c>
      <c r="H16">
        <v>975</v>
      </c>
      <c r="I16">
        <v>9000</v>
      </c>
      <c r="J16" s="75">
        <f t="shared" si="5"/>
        <v>0</v>
      </c>
      <c r="L16" t="s">
        <v>248</v>
      </c>
      <c r="M16">
        <v>975</v>
      </c>
      <c r="N16">
        <v>9000</v>
      </c>
      <c r="P16" t="s">
        <v>248</v>
      </c>
      <c r="Q16">
        <v>975</v>
      </c>
      <c r="R16">
        <v>9000</v>
      </c>
      <c r="T16" t="s">
        <v>248</v>
      </c>
      <c r="U16">
        <v>975</v>
      </c>
      <c r="V16">
        <v>9000</v>
      </c>
      <c r="X16" t="s">
        <v>248</v>
      </c>
      <c r="Y16">
        <v>975</v>
      </c>
      <c r="Z16">
        <v>9000</v>
      </c>
      <c r="AB16" t="s">
        <v>248</v>
      </c>
      <c r="AC16">
        <v>975</v>
      </c>
      <c r="AD16">
        <v>2500</v>
      </c>
      <c r="AG16" t="s">
        <v>248</v>
      </c>
      <c r="AH16">
        <v>975</v>
      </c>
      <c r="AI16">
        <v>2500</v>
      </c>
      <c r="AL16" t="s">
        <v>248</v>
      </c>
      <c r="AM16">
        <v>975</v>
      </c>
      <c r="AN16">
        <v>0</v>
      </c>
      <c r="AP16" t="s">
        <v>249</v>
      </c>
      <c r="AQ16">
        <v>1884.26</v>
      </c>
      <c r="AR16">
        <v>1827.53</v>
      </c>
      <c r="AT16" t="s">
        <v>249</v>
      </c>
      <c r="AU16">
        <v>1884.26</v>
      </c>
      <c r="AV16">
        <v>1827.53</v>
      </c>
      <c r="AX16" t="s">
        <v>249</v>
      </c>
      <c r="AY16">
        <v>1884.26</v>
      </c>
      <c r="AZ16">
        <v>1827.53</v>
      </c>
      <c r="BB16" t="s">
        <v>249</v>
      </c>
      <c r="BC16">
        <v>1589.7</v>
      </c>
      <c r="BD16">
        <v>1525.5</v>
      </c>
      <c r="BF16" t="s">
        <v>249</v>
      </c>
      <c r="BG16">
        <v>1288.8599999999999</v>
      </c>
      <c r="BH16">
        <v>1242.76</v>
      </c>
      <c r="BJ16" t="s">
        <v>249</v>
      </c>
      <c r="BK16">
        <v>978.06</v>
      </c>
      <c r="BL16">
        <v>950.83</v>
      </c>
      <c r="BN16" t="s">
        <v>249</v>
      </c>
      <c r="BO16">
        <v>697.39</v>
      </c>
      <c r="BP16">
        <v>304.89999999999998</v>
      </c>
      <c r="BQ16">
        <f t="shared" si="4"/>
        <v>0</v>
      </c>
      <c r="BR16" t="s">
        <v>249</v>
      </c>
      <c r="BS16">
        <v>386.72</v>
      </c>
      <c r="BT16">
        <v>304.89999999999998</v>
      </c>
      <c r="BV16" t="s">
        <v>249</v>
      </c>
      <c r="BW16">
        <v>386.72</v>
      </c>
      <c r="BX16">
        <v>304.89999999999998</v>
      </c>
      <c r="BZ16" t="s">
        <v>53</v>
      </c>
      <c r="CA16">
        <v>245009.64</v>
      </c>
      <c r="CB16">
        <v>259800.79</v>
      </c>
      <c r="CD16" t="s">
        <v>53</v>
      </c>
      <c r="CE16">
        <v>19806.64</v>
      </c>
      <c r="CF16">
        <v>259800.79</v>
      </c>
      <c r="CH16" t="s">
        <v>53</v>
      </c>
      <c r="CI16">
        <v>19806.64</v>
      </c>
      <c r="CJ16">
        <v>259800.79</v>
      </c>
    </row>
    <row r="17" spans="1:88" x14ac:dyDescent="0.3">
      <c r="A17" t="s">
        <v>9</v>
      </c>
      <c r="B17" t="s">
        <v>5</v>
      </c>
      <c r="C17" t="s">
        <v>251</v>
      </c>
      <c r="D17">
        <f t="shared" si="0"/>
        <v>48575</v>
      </c>
      <c r="E17">
        <f t="shared" si="1"/>
        <v>30497.63</v>
      </c>
      <c r="F17" s="75">
        <f t="shared" si="2"/>
        <v>0</v>
      </c>
      <c r="G17" t="s">
        <v>249</v>
      </c>
      <c r="H17">
        <v>2801.55</v>
      </c>
      <c r="I17">
        <v>2673.18</v>
      </c>
      <c r="J17" s="75">
        <f t="shared" si="5"/>
        <v>0</v>
      </c>
      <c r="L17" t="s">
        <v>249</v>
      </c>
      <c r="M17">
        <v>2801.55</v>
      </c>
      <c r="N17">
        <v>2673.18</v>
      </c>
      <c r="P17" t="s">
        <v>249</v>
      </c>
      <c r="Q17">
        <v>2801.55</v>
      </c>
      <c r="R17">
        <v>2673.18</v>
      </c>
      <c r="T17" t="s">
        <v>249</v>
      </c>
      <c r="U17">
        <v>2801.55</v>
      </c>
      <c r="V17">
        <v>2673.18</v>
      </c>
      <c r="X17" t="s">
        <v>249</v>
      </c>
      <c r="Y17">
        <v>2801.55</v>
      </c>
      <c r="Z17">
        <v>2673.18</v>
      </c>
      <c r="AB17" t="s">
        <v>249</v>
      </c>
      <c r="AC17">
        <v>2609.81</v>
      </c>
      <c r="AD17">
        <v>2540.7800000000002</v>
      </c>
      <c r="AG17" t="s">
        <v>249</v>
      </c>
      <c r="AH17">
        <v>2387.5300000000002</v>
      </c>
      <c r="AI17">
        <v>2306.2199999999998</v>
      </c>
      <c r="AL17" t="s">
        <v>249</v>
      </c>
      <c r="AM17">
        <v>2144.29</v>
      </c>
      <c r="AN17">
        <v>2084.58</v>
      </c>
      <c r="AP17" t="s">
        <v>250</v>
      </c>
      <c r="AQ17">
        <v>13253.57</v>
      </c>
      <c r="AR17">
        <v>14856.4</v>
      </c>
      <c r="AT17" t="s">
        <v>250</v>
      </c>
      <c r="AU17">
        <v>13253.57</v>
      </c>
      <c r="AV17">
        <v>14856.4</v>
      </c>
      <c r="AX17" t="s">
        <v>250</v>
      </c>
      <c r="AY17">
        <v>13253.57</v>
      </c>
      <c r="AZ17">
        <v>14856.4</v>
      </c>
      <c r="BB17" t="s">
        <v>250</v>
      </c>
      <c r="BC17">
        <v>13253.57</v>
      </c>
      <c r="BD17">
        <v>14050.77</v>
      </c>
      <c r="BF17" t="s">
        <v>250</v>
      </c>
      <c r="BG17">
        <v>13253.57</v>
      </c>
      <c r="BH17">
        <v>12945.78</v>
      </c>
      <c r="BJ17" t="s">
        <v>250</v>
      </c>
      <c r="BK17">
        <v>11554.59</v>
      </c>
      <c r="BL17">
        <v>11973.1</v>
      </c>
      <c r="BN17" t="s">
        <v>250</v>
      </c>
      <c r="BO17">
        <v>8399.8700000000008</v>
      </c>
      <c r="BP17">
        <v>5656.73</v>
      </c>
      <c r="BQ17">
        <f t="shared" si="4"/>
        <v>0</v>
      </c>
      <c r="BR17" t="s">
        <v>250</v>
      </c>
      <c r="BS17">
        <v>4056.71</v>
      </c>
      <c r="BT17">
        <v>2724.34</v>
      </c>
      <c r="BV17" t="s">
        <v>250</v>
      </c>
      <c r="BW17">
        <v>4056.71</v>
      </c>
      <c r="BX17">
        <v>2724.34</v>
      </c>
      <c r="BZ17" t="s">
        <v>350</v>
      </c>
      <c r="CA17">
        <v>245009.64</v>
      </c>
      <c r="CB17">
        <v>259800.79</v>
      </c>
      <c r="CD17" t="s">
        <v>350</v>
      </c>
      <c r="CE17">
        <v>19806.64</v>
      </c>
      <c r="CF17">
        <v>259800.79</v>
      </c>
      <c r="CH17" t="s">
        <v>350</v>
      </c>
      <c r="CI17">
        <v>19806.64</v>
      </c>
      <c r="CJ17">
        <v>259800.79</v>
      </c>
    </row>
    <row r="18" spans="1:88" x14ac:dyDescent="0.3">
      <c r="A18" t="s">
        <v>9</v>
      </c>
      <c r="B18" t="s">
        <v>8</v>
      </c>
      <c r="C18" t="s">
        <v>252</v>
      </c>
      <c r="D18">
        <f t="shared" si="0"/>
        <v>0</v>
      </c>
      <c r="E18">
        <f t="shared" si="1"/>
        <v>0</v>
      </c>
      <c r="F18" s="75">
        <f t="shared" si="2"/>
        <v>0</v>
      </c>
      <c r="G18" t="s">
        <v>250</v>
      </c>
      <c r="H18">
        <v>17730.16</v>
      </c>
      <c r="I18">
        <v>23482.54</v>
      </c>
      <c r="J18" s="75">
        <f t="shared" si="5"/>
        <v>0</v>
      </c>
      <c r="L18" t="s">
        <v>250</v>
      </c>
      <c r="M18">
        <v>17730.16</v>
      </c>
      <c r="N18">
        <v>23482.54</v>
      </c>
      <c r="P18" t="s">
        <v>250</v>
      </c>
      <c r="Q18">
        <v>17730.16</v>
      </c>
      <c r="R18">
        <v>23482.54</v>
      </c>
      <c r="T18" t="s">
        <v>250</v>
      </c>
      <c r="U18">
        <v>17730.16</v>
      </c>
      <c r="V18">
        <v>23482.54</v>
      </c>
      <c r="X18" t="s">
        <v>250</v>
      </c>
      <c r="Y18">
        <v>17730.16</v>
      </c>
      <c r="Z18">
        <v>23482.54</v>
      </c>
      <c r="AB18" t="s">
        <v>250</v>
      </c>
      <c r="AC18">
        <v>17357.39</v>
      </c>
      <c r="AD18">
        <v>19728.11</v>
      </c>
      <c r="AG18" t="s">
        <v>250</v>
      </c>
      <c r="AH18">
        <v>14295.31</v>
      </c>
      <c r="AI18">
        <v>18543.11</v>
      </c>
      <c r="AL18" t="s">
        <v>250</v>
      </c>
      <c r="AM18">
        <v>14295.31</v>
      </c>
      <c r="AN18">
        <v>15896.48</v>
      </c>
      <c r="AP18" t="s">
        <v>251</v>
      </c>
      <c r="AQ18">
        <v>45575</v>
      </c>
      <c r="AR18">
        <v>38497.629999999997</v>
      </c>
      <c r="AT18" t="s">
        <v>251</v>
      </c>
      <c r="AU18">
        <v>45575</v>
      </c>
      <c r="AV18">
        <v>38497.629999999997</v>
      </c>
      <c r="AX18" t="s">
        <v>251</v>
      </c>
      <c r="AY18">
        <v>45575</v>
      </c>
      <c r="AZ18">
        <v>38497.629999999997</v>
      </c>
      <c r="BB18" t="s">
        <v>251</v>
      </c>
      <c r="BC18">
        <v>41600</v>
      </c>
      <c r="BD18">
        <v>38497.629999999997</v>
      </c>
      <c r="BF18" t="s">
        <v>251</v>
      </c>
      <c r="BG18">
        <v>41600</v>
      </c>
      <c r="BH18">
        <v>38497.629999999997</v>
      </c>
      <c r="BJ18" t="s">
        <v>251</v>
      </c>
      <c r="BK18">
        <v>22600</v>
      </c>
      <c r="BL18">
        <v>33497.629999999997</v>
      </c>
      <c r="BN18" t="s">
        <v>251</v>
      </c>
      <c r="BO18">
        <v>17600</v>
      </c>
      <c r="BP18">
        <v>28997.63</v>
      </c>
      <c r="BQ18">
        <f t="shared" si="4"/>
        <v>0</v>
      </c>
      <c r="BR18" t="s">
        <v>251</v>
      </c>
      <c r="BS18">
        <v>5600</v>
      </c>
      <c r="BT18">
        <v>28997.63</v>
      </c>
      <c r="BV18" t="s">
        <v>251</v>
      </c>
      <c r="BW18">
        <v>5600</v>
      </c>
      <c r="BX18">
        <v>28997.63</v>
      </c>
      <c r="BZ18" t="s">
        <v>351</v>
      </c>
      <c r="CA18">
        <v>245009.64</v>
      </c>
      <c r="CB18">
        <v>259800.79</v>
      </c>
      <c r="CD18" t="s">
        <v>351</v>
      </c>
      <c r="CE18">
        <v>19806.64</v>
      </c>
      <c r="CF18">
        <v>259800.79</v>
      </c>
      <c r="CH18" t="s">
        <v>351</v>
      </c>
      <c r="CI18">
        <v>19806.64</v>
      </c>
      <c r="CJ18">
        <v>259800.79</v>
      </c>
    </row>
    <row r="19" spans="1:88" x14ac:dyDescent="0.3">
      <c r="A19" t="s">
        <v>253</v>
      </c>
      <c r="B19" t="s">
        <v>47</v>
      </c>
      <c r="C19" t="s">
        <v>254</v>
      </c>
      <c r="D19">
        <f t="shared" si="0"/>
        <v>1665.37</v>
      </c>
      <c r="E19">
        <f t="shared" si="1"/>
        <v>327.94</v>
      </c>
      <c r="F19" s="75">
        <f t="shared" si="2"/>
        <v>0</v>
      </c>
      <c r="G19" t="s">
        <v>251</v>
      </c>
      <c r="H19">
        <v>48575</v>
      </c>
      <c r="I19">
        <v>30497.63</v>
      </c>
      <c r="J19" s="75">
        <f t="shared" si="5"/>
        <v>0</v>
      </c>
      <c r="L19" t="s">
        <v>251</v>
      </c>
      <c r="M19">
        <v>48575</v>
      </c>
      <c r="N19">
        <v>30497.63</v>
      </c>
      <c r="P19" t="s">
        <v>251</v>
      </c>
      <c r="Q19">
        <v>48575</v>
      </c>
      <c r="R19">
        <v>30497.63</v>
      </c>
      <c r="T19" t="s">
        <v>251</v>
      </c>
      <c r="U19">
        <v>48575</v>
      </c>
      <c r="V19">
        <v>30497.63</v>
      </c>
      <c r="X19" t="s">
        <v>251</v>
      </c>
      <c r="Y19">
        <v>48575</v>
      </c>
      <c r="Z19">
        <v>30497.63</v>
      </c>
      <c r="AB19" t="s">
        <v>251</v>
      </c>
      <c r="AC19">
        <v>48575</v>
      </c>
      <c r="AD19">
        <v>44497.63</v>
      </c>
      <c r="AG19" t="s">
        <v>251</v>
      </c>
      <c r="AH19">
        <v>48575</v>
      </c>
      <c r="AI19">
        <v>44497.63</v>
      </c>
      <c r="AL19" t="s">
        <v>251</v>
      </c>
      <c r="AM19">
        <v>45575</v>
      </c>
      <c r="AN19">
        <v>38497.629999999997</v>
      </c>
      <c r="AP19" t="s">
        <v>53</v>
      </c>
      <c r="AQ19">
        <v>2951356.74</v>
      </c>
      <c r="AR19">
        <v>2893622.47</v>
      </c>
      <c r="AT19" t="s">
        <v>53</v>
      </c>
      <c r="AU19">
        <v>2951356.74</v>
      </c>
      <c r="AV19">
        <v>2893622.47</v>
      </c>
      <c r="AX19" t="s">
        <v>53</v>
      </c>
      <c r="AY19">
        <v>2931834.93</v>
      </c>
      <c r="AZ19">
        <v>2893622.47</v>
      </c>
      <c r="BB19" t="s">
        <v>53</v>
      </c>
      <c r="BC19">
        <v>2685205.13</v>
      </c>
      <c r="BD19">
        <v>2813237.81</v>
      </c>
      <c r="BF19" t="s">
        <v>53</v>
      </c>
      <c r="BG19">
        <v>2467427.1</v>
      </c>
      <c r="BH19">
        <v>2623757.41</v>
      </c>
      <c r="BJ19" t="s">
        <v>53</v>
      </c>
      <c r="BK19">
        <v>2357731.19</v>
      </c>
      <c r="BL19">
        <v>2347194.08</v>
      </c>
      <c r="BN19" t="s">
        <v>53</v>
      </c>
      <c r="BO19">
        <v>2242890.33</v>
      </c>
      <c r="BP19">
        <v>2196449.2599999998</v>
      </c>
      <c r="BQ19">
        <f t="shared" si="4"/>
        <v>0</v>
      </c>
      <c r="BR19" t="s">
        <v>53</v>
      </c>
      <c r="BS19">
        <v>2032359.39</v>
      </c>
      <c r="BT19">
        <v>1648897.04</v>
      </c>
      <c r="BV19" t="s">
        <v>53</v>
      </c>
      <c r="BW19">
        <v>2032359.39</v>
      </c>
      <c r="BX19">
        <v>1648897.04</v>
      </c>
      <c r="BZ19" t="s">
        <v>342</v>
      </c>
      <c r="CD19" t="s">
        <v>342</v>
      </c>
      <c r="CH19" t="s">
        <v>342</v>
      </c>
    </row>
    <row r="20" spans="1:88" x14ac:dyDescent="0.3">
      <c r="A20" t="s">
        <v>253</v>
      </c>
      <c r="B20" t="s">
        <v>45</v>
      </c>
      <c r="C20" t="s">
        <v>255</v>
      </c>
      <c r="D20">
        <f t="shared" si="0"/>
        <v>3000</v>
      </c>
      <c r="E20">
        <f t="shared" si="1"/>
        <v>3000</v>
      </c>
      <c r="F20" s="75">
        <f t="shared" si="2"/>
        <v>-3402590.62</v>
      </c>
      <c r="G20" t="s">
        <v>53</v>
      </c>
      <c r="H20">
        <v>3402590.62</v>
      </c>
      <c r="I20">
        <v>3278900.18</v>
      </c>
      <c r="J20" s="75">
        <f t="shared" si="5"/>
        <v>-3278900.18</v>
      </c>
      <c r="L20" t="s">
        <v>53</v>
      </c>
      <c r="M20">
        <v>3402590.62</v>
      </c>
      <c r="N20">
        <v>3278900.18</v>
      </c>
      <c r="P20" t="s">
        <v>53</v>
      </c>
      <c r="Q20">
        <v>3411423.07</v>
      </c>
      <c r="R20">
        <v>3278900.18</v>
      </c>
      <c r="T20" t="s">
        <v>53</v>
      </c>
      <c r="U20">
        <v>3411423.07</v>
      </c>
      <c r="V20">
        <v>3278900.18</v>
      </c>
      <c r="X20" t="s">
        <v>53</v>
      </c>
      <c r="Y20">
        <v>3411423.07</v>
      </c>
      <c r="Z20">
        <v>3278900.18</v>
      </c>
      <c r="AB20" t="s">
        <v>53</v>
      </c>
      <c r="AC20">
        <v>3395978.74</v>
      </c>
      <c r="AD20">
        <v>3248775.38</v>
      </c>
      <c r="AG20" t="s">
        <v>53</v>
      </c>
      <c r="AH20">
        <v>3321730.42</v>
      </c>
      <c r="AI20">
        <v>3222461.71</v>
      </c>
      <c r="AL20" t="s">
        <v>53</v>
      </c>
      <c r="AM20">
        <v>3049815.87</v>
      </c>
      <c r="AN20">
        <v>2918643.04</v>
      </c>
      <c r="AP20" t="s">
        <v>350</v>
      </c>
      <c r="AQ20">
        <v>2951356.74</v>
      </c>
      <c r="AR20">
        <v>2893622.47</v>
      </c>
      <c r="AT20" t="s">
        <v>350</v>
      </c>
      <c r="AU20">
        <v>2951356.74</v>
      </c>
      <c r="AV20">
        <v>2893622.47</v>
      </c>
      <c r="AX20" t="s">
        <v>350</v>
      </c>
      <c r="AY20">
        <v>2931834.93</v>
      </c>
      <c r="AZ20">
        <v>2893622.47</v>
      </c>
      <c r="BB20" t="s">
        <v>350</v>
      </c>
      <c r="BC20">
        <v>2685205.13</v>
      </c>
      <c r="BD20">
        <v>2813237.81</v>
      </c>
      <c r="BF20" t="s">
        <v>350</v>
      </c>
      <c r="BG20">
        <v>2467427.1</v>
      </c>
      <c r="BH20">
        <v>2623757.41</v>
      </c>
      <c r="BJ20" t="s">
        <v>350</v>
      </c>
      <c r="BK20">
        <v>2357731.19</v>
      </c>
      <c r="BL20">
        <v>2347194.08</v>
      </c>
      <c r="BN20" t="s">
        <v>350</v>
      </c>
      <c r="BO20">
        <v>2242890.33</v>
      </c>
      <c r="BP20">
        <v>2196449.2599999998</v>
      </c>
      <c r="BQ20">
        <f t="shared" si="4"/>
        <v>-3278900.18</v>
      </c>
      <c r="BR20" t="s">
        <v>350</v>
      </c>
      <c r="BS20">
        <v>2032359.39</v>
      </c>
      <c r="BT20">
        <v>1648897.04</v>
      </c>
      <c r="BV20" t="s">
        <v>350</v>
      </c>
      <c r="BW20">
        <v>2032359.39</v>
      </c>
      <c r="BX20">
        <v>1648897.04</v>
      </c>
      <c r="BZ20" t="s">
        <v>352</v>
      </c>
      <c r="CD20" t="s">
        <v>352</v>
      </c>
      <c r="CH20" t="s">
        <v>352</v>
      </c>
    </row>
    <row r="21" spans="1:88" x14ac:dyDescent="0.3">
      <c r="A21" t="s">
        <v>253</v>
      </c>
      <c r="B21" t="s">
        <v>237</v>
      </c>
      <c r="C21" t="s">
        <v>256</v>
      </c>
      <c r="D21">
        <f t="shared" si="0"/>
        <v>0</v>
      </c>
      <c r="E21">
        <f t="shared" si="1"/>
        <v>0</v>
      </c>
      <c r="F21" s="75">
        <f t="shared" si="2"/>
        <v>-3402590.62</v>
      </c>
      <c r="G21" t="s">
        <v>350</v>
      </c>
      <c r="H21">
        <v>3402590.62</v>
      </c>
      <c r="I21">
        <v>3308900.18</v>
      </c>
      <c r="J21" s="75">
        <f t="shared" si="5"/>
        <v>-3308900.18</v>
      </c>
      <c r="L21" t="s">
        <v>350</v>
      </c>
      <c r="M21">
        <v>3402590.62</v>
      </c>
      <c r="N21">
        <v>3308900.18</v>
      </c>
      <c r="P21" t="s">
        <v>350</v>
      </c>
      <c r="Q21">
        <v>3411423.07</v>
      </c>
      <c r="R21">
        <v>3308900.18</v>
      </c>
      <c r="T21" t="s">
        <v>350</v>
      </c>
      <c r="U21">
        <v>3411423.07</v>
      </c>
      <c r="V21">
        <v>3308900.18</v>
      </c>
      <c r="X21" t="s">
        <v>350</v>
      </c>
      <c r="Y21">
        <v>3411423.07</v>
      </c>
      <c r="Z21">
        <v>3308900.18</v>
      </c>
      <c r="AB21" t="s">
        <v>350</v>
      </c>
      <c r="AC21">
        <v>3395978.74</v>
      </c>
      <c r="AD21">
        <v>3278775.38</v>
      </c>
      <c r="AG21" t="s">
        <v>350</v>
      </c>
      <c r="AH21">
        <v>3321730.42</v>
      </c>
      <c r="AI21">
        <v>3252461.71</v>
      </c>
      <c r="AL21" t="s">
        <v>350</v>
      </c>
      <c r="AM21">
        <v>3049815.87</v>
      </c>
      <c r="AN21">
        <v>2948643.04</v>
      </c>
      <c r="AP21" t="s">
        <v>351</v>
      </c>
      <c r="AQ21">
        <v>2951356.74</v>
      </c>
      <c r="AR21">
        <v>2893622.47</v>
      </c>
      <c r="AT21" t="s">
        <v>351</v>
      </c>
      <c r="AU21">
        <v>2951356.74</v>
      </c>
      <c r="AV21">
        <v>2893622.47</v>
      </c>
      <c r="AX21" t="s">
        <v>351</v>
      </c>
      <c r="AY21">
        <v>2931834.93</v>
      </c>
      <c r="AZ21">
        <v>2893622.47</v>
      </c>
      <c r="BB21" t="s">
        <v>351</v>
      </c>
      <c r="BC21">
        <v>2685205.13</v>
      </c>
      <c r="BD21">
        <v>2813237.81</v>
      </c>
      <c r="BF21" t="s">
        <v>351</v>
      </c>
      <c r="BG21">
        <v>2467427.1</v>
      </c>
      <c r="BH21">
        <v>2623757.41</v>
      </c>
      <c r="BJ21" t="s">
        <v>351</v>
      </c>
      <c r="BK21">
        <v>2357731.19</v>
      </c>
      <c r="BL21">
        <v>2347194.08</v>
      </c>
      <c r="BN21" t="s">
        <v>351</v>
      </c>
      <c r="BO21">
        <v>2242890.33</v>
      </c>
      <c r="BP21">
        <v>2196449.2599999998</v>
      </c>
      <c r="BQ21">
        <f t="shared" si="4"/>
        <v>-3308900.18</v>
      </c>
      <c r="BR21" t="s">
        <v>351</v>
      </c>
      <c r="BS21">
        <v>2032359.39</v>
      </c>
      <c r="BT21">
        <v>1648897.04</v>
      </c>
      <c r="BV21" t="s">
        <v>351</v>
      </c>
      <c r="BW21">
        <v>2032359.39</v>
      </c>
      <c r="BX21">
        <v>1648897.04</v>
      </c>
      <c r="BZ21" t="s">
        <v>353</v>
      </c>
      <c r="CD21" t="s">
        <v>353</v>
      </c>
      <c r="CH21" t="s">
        <v>353</v>
      </c>
    </row>
    <row r="22" spans="1:88" x14ac:dyDescent="0.3">
      <c r="A22" t="s">
        <v>253</v>
      </c>
      <c r="B22" t="s">
        <v>49</v>
      </c>
      <c r="C22" t="s">
        <v>257</v>
      </c>
      <c r="D22">
        <f t="shared" si="0"/>
        <v>79573.48</v>
      </c>
      <c r="E22">
        <f t="shared" si="1"/>
        <v>77064.570000000007</v>
      </c>
      <c r="F22" s="75">
        <f t="shared" si="2"/>
        <v>-3402590.62</v>
      </c>
      <c r="G22" t="s">
        <v>351</v>
      </c>
      <c r="H22">
        <v>3402590.62</v>
      </c>
      <c r="I22">
        <v>3308900.18</v>
      </c>
      <c r="L22" t="s">
        <v>351</v>
      </c>
      <c r="M22">
        <v>3402590.62</v>
      </c>
      <c r="N22">
        <v>3308900.18</v>
      </c>
      <c r="P22" t="s">
        <v>351</v>
      </c>
      <c r="Q22">
        <v>3411423.07</v>
      </c>
      <c r="R22">
        <v>3308900.18</v>
      </c>
      <c r="T22" t="s">
        <v>351</v>
      </c>
      <c r="U22">
        <v>3411423.07</v>
      </c>
      <c r="V22">
        <v>3308900.18</v>
      </c>
      <c r="X22" t="s">
        <v>351</v>
      </c>
      <c r="Y22">
        <v>3411423.07</v>
      </c>
      <c r="Z22">
        <v>3308900.18</v>
      </c>
      <c r="AB22" t="s">
        <v>351</v>
      </c>
      <c r="AC22">
        <v>3395978.74</v>
      </c>
      <c r="AD22">
        <v>3278775.38</v>
      </c>
      <c r="AG22" t="s">
        <v>351</v>
      </c>
      <c r="AH22">
        <v>3321730.42</v>
      </c>
      <c r="AI22">
        <v>3252461.71</v>
      </c>
      <c r="AL22" t="s">
        <v>351</v>
      </c>
      <c r="AM22">
        <v>3049815.87</v>
      </c>
      <c r="AN22">
        <v>2948643.04</v>
      </c>
      <c r="AP22" t="s">
        <v>342</v>
      </c>
      <c r="AT22" t="s">
        <v>342</v>
      </c>
      <c r="AX22" t="s">
        <v>342</v>
      </c>
      <c r="BB22" t="s">
        <v>342</v>
      </c>
      <c r="BF22" t="s">
        <v>342</v>
      </c>
      <c r="BJ22" t="s">
        <v>342</v>
      </c>
      <c r="BN22" t="s">
        <v>342</v>
      </c>
      <c r="BQ22">
        <f t="shared" si="4"/>
        <v>-3308900.18</v>
      </c>
      <c r="BR22" t="s">
        <v>342</v>
      </c>
      <c r="BV22" t="s">
        <v>342</v>
      </c>
      <c r="BZ22" t="s">
        <v>354</v>
      </c>
      <c r="CD22" t="s">
        <v>354</v>
      </c>
      <c r="CH22" t="s">
        <v>354</v>
      </c>
    </row>
    <row r="23" spans="1:88" x14ac:dyDescent="0.3">
      <c r="A23" t="s">
        <v>253</v>
      </c>
      <c r="B23" t="s">
        <v>47</v>
      </c>
      <c r="C23" t="s">
        <v>258</v>
      </c>
      <c r="D23">
        <f t="shared" si="0"/>
        <v>28435.84</v>
      </c>
      <c r="E23">
        <f t="shared" si="1"/>
        <v>20371.16</v>
      </c>
      <c r="F23" s="75">
        <f t="shared" si="2"/>
        <v>0</v>
      </c>
      <c r="G23" t="s">
        <v>342</v>
      </c>
      <c r="L23" t="s">
        <v>342</v>
      </c>
      <c r="P23" t="s">
        <v>342</v>
      </c>
      <c r="T23" t="s">
        <v>342</v>
      </c>
      <c r="X23" t="s">
        <v>342</v>
      </c>
      <c r="AB23" t="s">
        <v>342</v>
      </c>
      <c r="AC23"/>
      <c r="AD23"/>
      <c r="AG23" t="s">
        <v>342</v>
      </c>
      <c r="AL23" t="s">
        <v>342</v>
      </c>
      <c r="AP23" t="s">
        <v>352</v>
      </c>
      <c r="AT23" t="s">
        <v>352</v>
      </c>
      <c r="AX23" t="s">
        <v>352</v>
      </c>
      <c r="BB23" t="s">
        <v>352</v>
      </c>
      <c r="BF23" t="s">
        <v>352</v>
      </c>
      <c r="BJ23" t="s">
        <v>352</v>
      </c>
      <c r="BN23" t="s">
        <v>352</v>
      </c>
      <c r="BQ23">
        <f t="shared" si="4"/>
        <v>0</v>
      </c>
      <c r="BR23" t="s">
        <v>352</v>
      </c>
      <c r="BV23" t="s">
        <v>352</v>
      </c>
      <c r="BZ23" t="s">
        <v>254</v>
      </c>
      <c r="CA23">
        <v>60</v>
      </c>
      <c r="CB23">
        <v>60</v>
      </c>
      <c r="CD23" t="s">
        <v>254</v>
      </c>
      <c r="CE23">
        <v>60</v>
      </c>
      <c r="CF23">
        <v>60</v>
      </c>
      <c r="CH23" t="s">
        <v>254</v>
      </c>
      <c r="CI23">
        <v>60</v>
      </c>
      <c r="CJ23">
        <v>60</v>
      </c>
    </row>
    <row r="24" spans="1:88" x14ac:dyDescent="0.3">
      <c r="A24" t="s">
        <v>253</v>
      </c>
      <c r="B24" t="s">
        <v>47</v>
      </c>
      <c r="C24" t="s">
        <v>259</v>
      </c>
      <c r="D24">
        <f t="shared" si="0"/>
        <v>13084.08</v>
      </c>
      <c r="E24">
        <f t="shared" si="1"/>
        <v>14003.89</v>
      </c>
      <c r="F24" s="75">
        <f t="shared" si="2"/>
        <v>0</v>
      </c>
      <c r="G24" t="s">
        <v>352</v>
      </c>
      <c r="L24" t="s">
        <v>352</v>
      </c>
      <c r="P24" t="s">
        <v>352</v>
      </c>
      <c r="T24" t="s">
        <v>352</v>
      </c>
      <c r="X24" t="s">
        <v>352</v>
      </c>
      <c r="AB24" t="s">
        <v>352</v>
      </c>
      <c r="AC24"/>
      <c r="AD24"/>
      <c r="AG24" t="s">
        <v>352</v>
      </c>
      <c r="AL24" t="s">
        <v>352</v>
      </c>
      <c r="AP24" t="s">
        <v>353</v>
      </c>
      <c r="AT24" t="s">
        <v>353</v>
      </c>
      <c r="AX24" t="s">
        <v>353</v>
      </c>
      <c r="BB24" t="s">
        <v>353</v>
      </c>
      <c r="BF24" t="s">
        <v>353</v>
      </c>
      <c r="BJ24" t="s">
        <v>353</v>
      </c>
      <c r="BN24" t="s">
        <v>353</v>
      </c>
      <c r="BQ24">
        <f t="shared" si="4"/>
        <v>0</v>
      </c>
      <c r="BR24" t="s">
        <v>353</v>
      </c>
      <c r="BV24" t="s">
        <v>353</v>
      </c>
      <c r="BZ24" t="s">
        <v>255</v>
      </c>
      <c r="CA24">
        <v>250</v>
      </c>
      <c r="CB24">
        <v>250</v>
      </c>
      <c r="CD24" t="s">
        <v>255</v>
      </c>
      <c r="CE24">
        <v>250</v>
      </c>
      <c r="CF24">
        <v>250</v>
      </c>
      <c r="CH24" t="s">
        <v>255</v>
      </c>
      <c r="CI24">
        <v>250</v>
      </c>
      <c r="CJ24">
        <v>250</v>
      </c>
    </row>
    <row r="25" spans="1:88" x14ac:dyDescent="0.3">
      <c r="A25" t="s">
        <v>253</v>
      </c>
      <c r="B25" t="s">
        <v>48</v>
      </c>
      <c r="C25" t="s">
        <v>260</v>
      </c>
      <c r="D25">
        <f t="shared" si="0"/>
        <v>532.26</v>
      </c>
      <c r="E25">
        <f t="shared" si="1"/>
        <v>380.64</v>
      </c>
      <c r="F25" s="75">
        <f t="shared" si="2"/>
        <v>0</v>
      </c>
      <c r="G25" t="s">
        <v>353</v>
      </c>
      <c r="L25" t="s">
        <v>353</v>
      </c>
      <c r="P25" t="s">
        <v>353</v>
      </c>
      <c r="T25" t="s">
        <v>353</v>
      </c>
      <c r="X25" t="s">
        <v>353</v>
      </c>
      <c r="AB25" t="s">
        <v>353</v>
      </c>
      <c r="AC25"/>
      <c r="AD25"/>
      <c r="AG25" t="s">
        <v>353</v>
      </c>
      <c r="AL25" t="s">
        <v>353</v>
      </c>
      <c r="AP25" t="s">
        <v>354</v>
      </c>
      <c r="AT25" t="s">
        <v>354</v>
      </c>
      <c r="AX25" t="s">
        <v>354</v>
      </c>
      <c r="BB25" t="s">
        <v>354</v>
      </c>
      <c r="BF25" t="s">
        <v>354</v>
      </c>
      <c r="BJ25" t="s">
        <v>354</v>
      </c>
      <c r="BN25" t="s">
        <v>354</v>
      </c>
      <c r="BQ25">
        <f t="shared" si="4"/>
        <v>0</v>
      </c>
      <c r="BR25" t="s">
        <v>354</v>
      </c>
      <c r="BV25" t="s">
        <v>354</v>
      </c>
      <c r="BZ25" t="s">
        <v>257</v>
      </c>
      <c r="CA25">
        <v>6565.47</v>
      </c>
      <c r="CB25">
        <v>6374.24</v>
      </c>
      <c r="CD25" t="s">
        <v>257</v>
      </c>
      <c r="CE25">
        <v>6565.47</v>
      </c>
      <c r="CF25">
        <v>6374.24</v>
      </c>
      <c r="CH25" t="s">
        <v>257</v>
      </c>
      <c r="CI25">
        <v>6565.47</v>
      </c>
      <c r="CJ25">
        <v>6374.24</v>
      </c>
    </row>
    <row r="26" spans="1:88" x14ac:dyDescent="0.3">
      <c r="A26" t="s">
        <v>253</v>
      </c>
      <c r="B26" t="s">
        <v>46</v>
      </c>
      <c r="C26" t="s">
        <v>261</v>
      </c>
      <c r="D26">
        <f t="shared" si="0"/>
        <v>8306.7900000000009</v>
      </c>
      <c r="E26">
        <f t="shared" si="1"/>
        <v>7053.62</v>
      </c>
      <c r="F26" s="75">
        <f t="shared" si="2"/>
        <v>0</v>
      </c>
      <c r="G26" t="s">
        <v>354</v>
      </c>
      <c r="J26" s="75">
        <f t="shared" ref="J26:J35" si="6">SUMIFS(E:E,C:C,G26)-I26</f>
        <v>0</v>
      </c>
      <c r="L26" t="s">
        <v>354</v>
      </c>
      <c r="P26" t="s">
        <v>354</v>
      </c>
      <c r="T26" t="s">
        <v>354</v>
      </c>
      <c r="X26" t="s">
        <v>354</v>
      </c>
      <c r="AB26" t="s">
        <v>354</v>
      </c>
      <c r="AC26"/>
      <c r="AD26"/>
      <c r="AG26" t="s">
        <v>354</v>
      </c>
      <c r="AL26" t="s">
        <v>354</v>
      </c>
      <c r="AP26" t="s">
        <v>254</v>
      </c>
      <c r="AQ26">
        <v>965.9</v>
      </c>
      <c r="AR26">
        <v>121.12</v>
      </c>
      <c r="AT26" t="s">
        <v>254</v>
      </c>
      <c r="AU26">
        <v>965.9</v>
      </c>
      <c r="AV26">
        <v>121.12</v>
      </c>
      <c r="AX26" t="s">
        <v>254</v>
      </c>
      <c r="AY26">
        <v>965.9</v>
      </c>
      <c r="AZ26">
        <v>121.12</v>
      </c>
      <c r="BB26" t="s">
        <v>254</v>
      </c>
      <c r="BC26">
        <v>875.88</v>
      </c>
      <c r="BD26">
        <v>111.12</v>
      </c>
      <c r="BF26" t="s">
        <v>254</v>
      </c>
      <c r="BG26">
        <v>730.9</v>
      </c>
      <c r="BH26">
        <v>111.12</v>
      </c>
      <c r="BJ26" t="s">
        <v>254</v>
      </c>
      <c r="BK26">
        <v>476.73</v>
      </c>
      <c r="BL26">
        <v>101.12</v>
      </c>
      <c r="BN26" t="s">
        <v>254</v>
      </c>
      <c r="BO26">
        <v>298.14</v>
      </c>
      <c r="BP26">
        <v>91.12</v>
      </c>
      <c r="BQ26">
        <f t="shared" si="4"/>
        <v>0</v>
      </c>
      <c r="BR26" t="s">
        <v>254</v>
      </c>
      <c r="BS26">
        <v>237.39</v>
      </c>
      <c r="BT26">
        <v>80</v>
      </c>
      <c r="BV26" t="s">
        <v>254</v>
      </c>
      <c r="BW26">
        <v>237.39</v>
      </c>
      <c r="BX26">
        <v>80</v>
      </c>
      <c r="BZ26" t="s">
        <v>258</v>
      </c>
      <c r="CA26">
        <v>4794.99</v>
      </c>
      <c r="CB26">
        <v>0</v>
      </c>
      <c r="CD26" t="s">
        <v>258</v>
      </c>
      <c r="CE26">
        <v>4794.99</v>
      </c>
      <c r="CF26">
        <v>0</v>
      </c>
      <c r="CH26" t="s">
        <v>258</v>
      </c>
      <c r="CI26">
        <v>4794.99</v>
      </c>
      <c r="CJ26">
        <v>0</v>
      </c>
    </row>
    <row r="27" spans="1:88" x14ac:dyDescent="0.3">
      <c r="A27" t="s">
        <v>253</v>
      </c>
      <c r="B27" t="s">
        <v>30</v>
      </c>
      <c r="D27">
        <f t="shared" si="0"/>
        <v>0</v>
      </c>
      <c r="E27">
        <f t="shared" si="1"/>
        <v>0</v>
      </c>
      <c r="F27" s="75">
        <f t="shared" si="2"/>
        <v>0</v>
      </c>
      <c r="G27" t="s">
        <v>254</v>
      </c>
      <c r="H27">
        <v>1665.37</v>
      </c>
      <c r="I27">
        <v>327.94</v>
      </c>
      <c r="J27" s="75">
        <f t="shared" si="6"/>
        <v>0</v>
      </c>
      <c r="L27" t="s">
        <v>254</v>
      </c>
      <c r="M27">
        <v>1665.37</v>
      </c>
      <c r="N27">
        <v>327.94</v>
      </c>
      <c r="P27" t="s">
        <v>254</v>
      </c>
      <c r="Q27">
        <v>1608.45</v>
      </c>
      <c r="R27">
        <v>327.94</v>
      </c>
      <c r="T27" t="s">
        <v>254</v>
      </c>
      <c r="U27">
        <v>1608.45</v>
      </c>
      <c r="V27">
        <v>327.94</v>
      </c>
      <c r="X27" t="s">
        <v>254</v>
      </c>
      <c r="Y27">
        <v>1608.45</v>
      </c>
      <c r="Z27">
        <v>327.94</v>
      </c>
      <c r="AB27" t="s">
        <v>254</v>
      </c>
      <c r="AC27">
        <v>1166.83</v>
      </c>
      <c r="AD27">
        <v>267.94</v>
      </c>
      <c r="AG27" t="s">
        <v>254</v>
      </c>
      <c r="AH27">
        <v>1089.03</v>
      </c>
      <c r="AI27">
        <v>203.12</v>
      </c>
      <c r="AL27" t="s">
        <v>254</v>
      </c>
      <c r="AM27">
        <v>1039.03</v>
      </c>
      <c r="AN27">
        <v>143.12</v>
      </c>
      <c r="AP27" t="s">
        <v>255</v>
      </c>
      <c r="AQ27">
        <v>2000</v>
      </c>
      <c r="AR27">
        <v>2000</v>
      </c>
      <c r="AT27" t="s">
        <v>255</v>
      </c>
      <c r="AU27">
        <v>2000</v>
      </c>
      <c r="AV27">
        <v>2000</v>
      </c>
      <c r="AX27" t="s">
        <v>255</v>
      </c>
      <c r="AY27">
        <v>2000</v>
      </c>
      <c r="AZ27">
        <v>2000</v>
      </c>
      <c r="BB27" t="s">
        <v>255</v>
      </c>
      <c r="BC27">
        <v>1750</v>
      </c>
      <c r="BD27">
        <v>1750</v>
      </c>
      <c r="BF27" t="s">
        <v>255</v>
      </c>
      <c r="BG27">
        <v>1500</v>
      </c>
      <c r="BH27">
        <v>1500</v>
      </c>
      <c r="BJ27" t="s">
        <v>255</v>
      </c>
      <c r="BK27">
        <v>1250</v>
      </c>
      <c r="BL27">
        <v>1250</v>
      </c>
      <c r="BN27" t="s">
        <v>255</v>
      </c>
      <c r="BO27">
        <v>1000</v>
      </c>
      <c r="BP27">
        <v>1000</v>
      </c>
      <c r="BQ27">
        <f t="shared" si="4"/>
        <v>0</v>
      </c>
      <c r="BR27" t="s">
        <v>255</v>
      </c>
      <c r="BS27">
        <v>750</v>
      </c>
      <c r="BT27">
        <v>750</v>
      </c>
      <c r="BV27" t="s">
        <v>255</v>
      </c>
      <c r="BW27">
        <v>750</v>
      </c>
      <c r="BX27">
        <v>750</v>
      </c>
      <c r="BZ27" t="s">
        <v>259</v>
      </c>
      <c r="CA27">
        <v>672.03</v>
      </c>
      <c r="CB27">
        <v>645.91999999999996</v>
      </c>
      <c r="CD27" t="s">
        <v>259</v>
      </c>
      <c r="CE27">
        <v>672.03</v>
      </c>
      <c r="CF27">
        <v>645.91999999999996</v>
      </c>
      <c r="CH27" t="s">
        <v>259</v>
      </c>
      <c r="CI27">
        <v>672.03</v>
      </c>
      <c r="CJ27">
        <v>645.91999999999996</v>
      </c>
    </row>
    <row r="28" spans="1:88" x14ac:dyDescent="0.3">
      <c r="A28" t="s">
        <v>253</v>
      </c>
      <c r="B28" t="s">
        <v>234</v>
      </c>
      <c r="C28" t="s">
        <v>263</v>
      </c>
      <c r="D28">
        <f t="shared" si="0"/>
        <v>0</v>
      </c>
      <c r="E28">
        <f t="shared" si="1"/>
        <v>37098.53</v>
      </c>
      <c r="F28" s="75">
        <f t="shared" si="2"/>
        <v>0</v>
      </c>
      <c r="G28" t="s">
        <v>255</v>
      </c>
      <c r="H28">
        <v>3000</v>
      </c>
      <c r="I28">
        <v>3000</v>
      </c>
      <c r="J28" s="75">
        <f t="shared" si="6"/>
        <v>0</v>
      </c>
      <c r="L28" t="s">
        <v>255</v>
      </c>
      <c r="M28">
        <v>3000</v>
      </c>
      <c r="N28">
        <v>3000</v>
      </c>
      <c r="P28" t="s">
        <v>255</v>
      </c>
      <c r="Q28">
        <v>3000</v>
      </c>
      <c r="R28">
        <v>3000</v>
      </c>
      <c r="T28" t="s">
        <v>255</v>
      </c>
      <c r="U28">
        <v>3000</v>
      </c>
      <c r="V28">
        <v>3000</v>
      </c>
      <c r="X28" t="s">
        <v>255</v>
      </c>
      <c r="Y28">
        <v>3000</v>
      </c>
      <c r="Z28">
        <v>3000</v>
      </c>
      <c r="AB28" t="s">
        <v>255</v>
      </c>
      <c r="AC28">
        <v>2750</v>
      </c>
      <c r="AD28">
        <v>2750</v>
      </c>
      <c r="AG28" t="s">
        <v>255</v>
      </c>
      <c r="AH28">
        <v>2500</v>
      </c>
      <c r="AI28">
        <v>2500</v>
      </c>
      <c r="AL28" t="s">
        <v>255</v>
      </c>
      <c r="AM28">
        <v>2250</v>
      </c>
      <c r="AN28">
        <v>2250</v>
      </c>
      <c r="AP28" t="s">
        <v>256</v>
      </c>
      <c r="AQ28">
        <v>0</v>
      </c>
      <c r="AR28">
        <v>0</v>
      </c>
      <c r="AT28" t="s">
        <v>256</v>
      </c>
      <c r="AU28">
        <v>0</v>
      </c>
      <c r="AV28">
        <v>0</v>
      </c>
      <c r="AX28" t="s">
        <v>256</v>
      </c>
      <c r="AY28">
        <v>0</v>
      </c>
      <c r="AZ28">
        <v>0</v>
      </c>
      <c r="BB28" t="s">
        <v>256</v>
      </c>
      <c r="BC28">
        <v>0</v>
      </c>
      <c r="BD28">
        <v>0</v>
      </c>
      <c r="BF28" t="s">
        <v>256</v>
      </c>
      <c r="BG28">
        <v>0</v>
      </c>
      <c r="BH28">
        <v>1569</v>
      </c>
      <c r="BJ28" t="s">
        <v>256</v>
      </c>
      <c r="BK28">
        <v>0</v>
      </c>
      <c r="BL28">
        <v>1569</v>
      </c>
      <c r="BN28" t="s">
        <v>256</v>
      </c>
      <c r="BO28">
        <v>0</v>
      </c>
      <c r="BP28">
        <v>1569</v>
      </c>
      <c r="BQ28">
        <f t="shared" si="4"/>
        <v>0</v>
      </c>
      <c r="BR28" t="s">
        <v>257</v>
      </c>
      <c r="BS28">
        <v>19696.41</v>
      </c>
      <c r="BT28">
        <v>19122.72</v>
      </c>
      <c r="BV28" t="s">
        <v>257</v>
      </c>
      <c r="BW28">
        <v>19696.41</v>
      </c>
      <c r="BX28">
        <v>19122.72</v>
      </c>
      <c r="BZ28" t="s">
        <v>260</v>
      </c>
      <c r="CA28">
        <v>119.88</v>
      </c>
      <c r="CB28">
        <v>9.94</v>
      </c>
      <c r="CD28" t="s">
        <v>260</v>
      </c>
      <c r="CE28">
        <v>119.88</v>
      </c>
      <c r="CF28">
        <v>9.94</v>
      </c>
      <c r="CH28" t="s">
        <v>260</v>
      </c>
      <c r="CI28">
        <v>119.88</v>
      </c>
      <c r="CJ28">
        <v>9.94</v>
      </c>
    </row>
    <row r="29" spans="1:88" x14ac:dyDescent="0.3">
      <c r="A29" t="s">
        <v>245</v>
      </c>
      <c r="B29" t="s">
        <v>116</v>
      </c>
      <c r="C29" t="s">
        <v>264</v>
      </c>
      <c r="D29">
        <f t="shared" si="0"/>
        <v>79417.72</v>
      </c>
      <c r="E29">
        <f t="shared" si="1"/>
        <v>75100.33</v>
      </c>
      <c r="F29" s="75">
        <f t="shared" si="2"/>
        <v>0</v>
      </c>
      <c r="G29" t="s">
        <v>256</v>
      </c>
      <c r="H29">
        <v>0</v>
      </c>
      <c r="I29">
        <v>0</v>
      </c>
      <c r="J29" s="75">
        <f t="shared" si="6"/>
        <v>0</v>
      </c>
      <c r="L29" t="s">
        <v>256</v>
      </c>
      <c r="M29">
        <v>0</v>
      </c>
      <c r="N29">
        <v>0</v>
      </c>
      <c r="P29" t="s">
        <v>256</v>
      </c>
      <c r="Q29">
        <v>0</v>
      </c>
      <c r="R29">
        <v>0</v>
      </c>
      <c r="T29" t="s">
        <v>256</v>
      </c>
      <c r="U29">
        <v>0</v>
      </c>
      <c r="V29">
        <v>0</v>
      </c>
      <c r="X29" t="s">
        <v>256</v>
      </c>
      <c r="Y29">
        <v>0</v>
      </c>
      <c r="Z29">
        <v>0</v>
      </c>
      <c r="AB29" t="s">
        <v>256</v>
      </c>
      <c r="AC29">
        <v>0</v>
      </c>
      <c r="AD29">
        <v>0</v>
      </c>
      <c r="AG29" t="s">
        <v>256</v>
      </c>
      <c r="AH29">
        <v>0</v>
      </c>
      <c r="AI29">
        <v>0</v>
      </c>
      <c r="AL29" t="s">
        <v>256</v>
      </c>
      <c r="AM29">
        <v>0</v>
      </c>
      <c r="AN29">
        <v>0</v>
      </c>
      <c r="AP29" t="s">
        <v>257</v>
      </c>
      <c r="AQ29">
        <v>52523.76</v>
      </c>
      <c r="AR29">
        <v>50993.919999999998</v>
      </c>
      <c r="AT29" t="s">
        <v>257</v>
      </c>
      <c r="AU29">
        <v>52523.76</v>
      </c>
      <c r="AV29">
        <v>50993.919999999998</v>
      </c>
      <c r="AX29" t="s">
        <v>257</v>
      </c>
      <c r="AY29">
        <v>52523.76</v>
      </c>
      <c r="AZ29">
        <v>50993.919999999998</v>
      </c>
      <c r="BB29" t="s">
        <v>257</v>
      </c>
      <c r="BC29">
        <v>45958.29</v>
      </c>
      <c r="BD29">
        <v>44619.68</v>
      </c>
      <c r="BF29" t="s">
        <v>257</v>
      </c>
      <c r="BG29">
        <v>39392.82</v>
      </c>
      <c r="BH29">
        <v>38245.440000000002</v>
      </c>
      <c r="BJ29" t="s">
        <v>257</v>
      </c>
      <c r="BK29">
        <v>32827.35</v>
      </c>
      <c r="BL29">
        <v>31871.200000000001</v>
      </c>
      <c r="BN29" t="s">
        <v>257</v>
      </c>
      <c r="BO29">
        <v>26261.88</v>
      </c>
      <c r="BP29">
        <v>25496.959999999999</v>
      </c>
      <c r="BQ29">
        <f t="shared" si="4"/>
        <v>0</v>
      </c>
      <c r="BR29" t="s">
        <v>258</v>
      </c>
      <c r="BS29">
        <v>8918.9599999999991</v>
      </c>
      <c r="BT29">
        <v>2776</v>
      </c>
      <c r="BV29" t="s">
        <v>258</v>
      </c>
      <c r="BW29">
        <v>8918.9599999999991</v>
      </c>
      <c r="BX29">
        <v>2776</v>
      </c>
      <c r="BZ29" t="s">
        <v>261</v>
      </c>
      <c r="CA29">
        <v>233.44</v>
      </c>
      <c r="CB29">
        <v>225.23</v>
      </c>
      <c r="CD29" t="s">
        <v>261</v>
      </c>
      <c r="CE29">
        <v>233.44</v>
      </c>
      <c r="CF29">
        <v>225.23</v>
      </c>
      <c r="CH29" t="s">
        <v>261</v>
      </c>
      <c r="CI29">
        <v>233.44</v>
      </c>
      <c r="CJ29">
        <v>225.23</v>
      </c>
    </row>
    <row r="30" spans="1:88" x14ac:dyDescent="0.3">
      <c r="A30" t="s">
        <v>253</v>
      </c>
      <c r="B30" t="s">
        <v>30</v>
      </c>
      <c r="C30" t="s">
        <v>265</v>
      </c>
      <c r="D30">
        <f t="shared" si="0"/>
        <v>455431.04</v>
      </c>
      <c r="E30">
        <f t="shared" si="1"/>
        <v>378092.33</v>
      </c>
      <c r="F30" s="75">
        <f t="shared" si="2"/>
        <v>0</v>
      </c>
      <c r="G30" t="s">
        <v>257</v>
      </c>
      <c r="H30">
        <v>79573.48</v>
      </c>
      <c r="I30">
        <v>77064.570000000007</v>
      </c>
      <c r="J30" s="75">
        <f t="shared" si="6"/>
        <v>0</v>
      </c>
      <c r="L30" t="s">
        <v>257</v>
      </c>
      <c r="M30">
        <v>79573.48</v>
      </c>
      <c r="N30">
        <v>77064.570000000007</v>
      </c>
      <c r="P30" t="s">
        <v>257</v>
      </c>
      <c r="Q30">
        <v>79573.48</v>
      </c>
      <c r="R30">
        <v>77064.570000000007</v>
      </c>
      <c r="T30" t="s">
        <v>257</v>
      </c>
      <c r="U30">
        <v>79573.48</v>
      </c>
      <c r="V30">
        <v>77064.570000000007</v>
      </c>
      <c r="X30" t="s">
        <v>257</v>
      </c>
      <c r="Y30">
        <v>79573.48</v>
      </c>
      <c r="Z30">
        <v>77064.570000000007</v>
      </c>
      <c r="AB30" t="s">
        <v>257</v>
      </c>
      <c r="AC30">
        <v>72811.05</v>
      </c>
      <c r="AD30">
        <v>70499.100000000006</v>
      </c>
      <c r="AG30" t="s">
        <v>257</v>
      </c>
      <c r="AH30">
        <v>66048.62</v>
      </c>
      <c r="AI30">
        <v>63933.63</v>
      </c>
      <c r="AL30" t="s">
        <v>257</v>
      </c>
      <c r="AM30">
        <v>59286.19</v>
      </c>
      <c r="AN30">
        <v>57559.39</v>
      </c>
      <c r="AP30" t="s">
        <v>258</v>
      </c>
      <c r="AQ30">
        <v>19672.71</v>
      </c>
      <c r="AR30">
        <v>12646.31</v>
      </c>
      <c r="AT30" t="s">
        <v>258</v>
      </c>
      <c r="AU30">
        <v>19672.71</v>
      </c>
      <c r="AV30">
        <v>12646.31</v>
      </c>
      <c r="AX30" t="s">
        <v>258</v>
      </c>
      <c r="AY30">
        <v>19672.71</v>
      </c>
      <c r="AZ30">
        <v>12646.31</v>
      </c>
      <c r="BB30" t="s">
        <v>258</v>
      </c>
      <c r="BC30">
        <v>15003.92</v>
      </c>
      <c r="BD30">
        <v>8823.32</v>
      </c>
      <c r="BF30" t="s">
        <v>258</v>
      </c>
      <c r="BG30">
        <v>13599.93</v>
      </c>
      <c r="BH30">
        <v>7352.33</v>
      </c>
      <c r="BJ30" t="s">
        <v>258</v>
      </c>
      <c r="BK30">
        <v>11852.94</v>
      </c>
      <c r="BL30">
        <v>5917</v>
      </c>
      <c r="BN30" t="s">
        <v>258</v>
      </c>
      <c r="BO30">
        <v>10745.95</v>
      </c>
      <c r="BP30">
        <v>4529</v>
      </c>
      <c r="BQ30">
        <f t="shared" si="4"/>
        <v>0</v>
      </c>
      <c r="BR30" t="s">
        <v>259</v>
      </c>
      <c r="BS30">
        <v>3587.88</v>
      </c>
      <c r="BT30">
        <v>2908.89</v>
      </c>
      <c r="BV30" t="s">
        <v>259</v>
      </c>
      <c r="BW30">
        <v>3587.88</v>
      </c>
      <c r="BX30">
        <v>2908.89</v>
      </c>
      <c r="BZ30" t="s">
        <v>355</v>
      </c>
      <c r="CA30">
        <v>12695.81</v>
      </c>
      <c r="CB30">
        <v>7565.33</v>
      </c>
      <c r="CD30" t="s">
        <v>355</v>
      </c>
      <c r="CE30">
        <v>12695.81</v>
      </c>
      <c r="CF30">
        <v>7565.33</v>
      </c>
      <c r="CH30" t="s">
        <v>355</v>
      </c>
      <c r="CI30">
        <v>12695.81</v>
      </c>
      <c r="CJ30">
        <v>7565.33</v>
      </c>
    </row>
    <row r="31" spans="1:88" x14ac:dyDescent="0.3">
      <c r="A31" t="s">
        <v>245</v>
      </c>
      <c r="B31" t="s">
        <v>115</v>
      </c>
      <c r="C31" t="s">
        <v>519</v>
      </c>
      <c r="D31">
        <f t="shared" si="0"/>
        <v>42235.92</v>
      </c>
      <c r="E31">
        <f t="shared" si="1"/>
        <v>0</v>
      </c>
      <c r="F31" s="75">
        <f t="shared" si="2"/>
        <v>0</v>
      </c>
      <c r="G31" t="s">
        <v>258</v>
      </c>
      <c r="H31">
        <v>28435.84</v>
      </c>
      <c r="I31">
        <v>20371.16</v>
      </c>
      <c r="J31" s="75">
        <f t="shared" si="6"/>
        <v>0</v>
      </c>
      <c r="L31" t="s">
        <v>258</v>
      </c>
      <c r="M31">
        <v>28435.84</v>
      </c>
      <c r="N31">
        <v>20371.16</v>
      </c>
      <c r="P31" t="s">
        <v>258</v>
      </c>
      <c r="Q31">
        <v>28433.85</v>
      </c>
      <c r="R31">
        <v>20371.16</v>
      </c>
      <c r="T31" t="s">
        <v>258</v>
      </c>
      <c r="U31">
        <v>28433.85</v>
      </c>
      <c r="V31">
        <v>20371.16</v>
      </c>
      <c r="X31" t="s">
        <v>258</v>
      </c>
      <c r="Y31">
        <v>28433.85</v>
      </c>
      <c r="Z31">
        <v>20371.16</v>
      </c>
      <c r="AB31" t="s">
        <v>258</v>
      </c>
      <c r="AC31">
        <v>25116.59</v>
      </c>
      <c r="AD31">
        <v>17440.169999999998</v>
      </c>
      <c r="AG31" t="s">
        <v>258</v>
      </c>
      <c r="AH31">
        <v>22946.6</v>
      </c>
      <c r="AI31">
        <v>16013.18</v>
      </c>
      <c r="AL31" t="s">
        <v>258</v>
      </c>
      <c r="AM31">
        <v>22350.7</v>
      </c>
      <c r="AN31">
        <v>14153.3</v>
      </c>
      <c r="AP31" t="s">
        <v>259</v>
      </c>
      <c r="AQ31">
        <v>8703.9</v>
      </c>
      <c r="AR31">
        <v>8741.23</v>
      </c>
      <c r="AT31" t="s">
        <v>259</v>
      </c>
      <c r="AU31">
        <v>8703.9</v>
      </c>
      <c r="AV31">
        <v>8741.23</v>
      </c>
      <c r="AX31" t="s">
        <v>259</v>
      </c>
      <c r="AY31">
        <v>8703.9</v>
      </c>
      <c r="AZ31">
        <v>8741.23</v>
      </c>
      <c r="BB31" t="s">
        <v>259</v>
      </c>
      <c r="BC31">
        <v>8604.76</v>
      </c>
      <c r="BD31">
        <v>7402.88</v>
      </c>
      <c r="BF31" t="s">
        <v>259</v>
      </c>
      <c r="BG31">
        <v>8126.51</v>
      </c>
      <c r="BH31">
        <v>5604.94</v>
      </c>
      <c r="BJ31" t="s">
        <v>259</v>
      </c>
      <c r="BK31">
        <v>4968.78</v>
      </c>
      <c r="BL31">
        <v>5168.5200000000004</v>
      </c>
      <c r="BN31" t="s">
        <v>259</v>
      </c>
      <c r="BO31">
        <v>4198.2700000000004</v>
      </c>
      <c r="BP31">
        <v>4713.95</v>
      </c>
      <c r="BQ31">
        <f t="shared" si="4"/>
        <v>0</v>
      </c>
      <c r="BR31" t="s">
        <v>260</v>
      </c>
      <c r="BS31">
        <v>207.41</v>
      </c>
      <c r="BT31">
        <v>26.73</v>
      </c>
      <c r="BV31" t="s">
        <v>260</v>
      </c>
      <c r="BW31">
        <v>207.41</v>
      </c>
      <c r="BX31">
        <v>26.73</v>
      </c>
      <c r="BZ31" t="s">
        <v>205</v>
      </c>
      <c r="CD31" t="s">
        <v>205</v>
      </c>
      <c r="CH31" t="s">
        <v>205</v>
      </c>
    </row>
    <row r="32" spans="1:88" x14ac:dyDescent="0.3">
      <c r="B32" t="s">
        <v>266</v>
      </c>
      <c r="D32">
        <f t="shared" si="0"/>
        <v>0</v>
      </c>
      <c r="E32">
        <f t="shared" si="1"/>
        <v>0</v>
      </c>
      <c r="F32" s="75">
        <f t="shared" si="2"/>
        <v>0</v>
      </c>
      <c r="G32" t="s">
        <v>259</v>
      </c>
      <c r="H32">
        <v>13084.08</v>
      </c>
      <c r="I32">
        <v>14003.89</v>
      </c>
      <c r="J32" s="75">
        <f t="shared" si="6"/>
        <v>0</v>
      </c>
      <c r="L32" t="s">
        <v>259</v>
      </c>
      <c r="M32">
        <v>13084.08</v>
      </c>
      <c r="N32">
        <v>14003.89</v>
      </c>
      <c r="P32" t="s">
        <v>259</v>
      </c>
      <c r="Q32">
        <v>11699.23</v>
      </c>
      <c r="R32">
        <v>14003.89</v>
      </c>
      <c r="T32" t="s">
        <v>259</v>
      </c>
      <c r="U32">
        <v>11699.23</v>
      </c>
      <c r="V32">
        <v>14003.89</v>
      </c>
      <c r="X32" t="s">
        <v>259</v>
      </c>
      <c r="Y32">
        <v>11699.23</v>
      </c>
      <c r="Z32">
        <v>14003.89</v>
      </c>
      <c r="AB32" t="s">
        <v>259</v>
      </c>
      <c r="AC32">
        <v>11477.09</v>
      </c>
      <c r="AD32">
        <v>11469.89</v>
      </c>
      <c r="AG32" t="s">
        <v>259</v>
      </c>
      <c r="AH32">
        <v>10789.28</v>
      </c>
      <c r="AI32">
        <v>10370.23</v>
      </c>
      <c r="AL32" t="s">
        <v>259</v>
      </c>
      <c r="AM32">
        <v>10789.28</v>
      </c>
      <c r="AN32">
        <v>9752.18</v>
      </c>
      <c r="AP32" t="s">
        <v>260</v>
      </c>
      <c r="AQ32">
        <v>410.27</v>
      </c>
      <c r="AR32">
        <v>214.78</v>
      </c>
      <c r="AT32" t="s">
        <v>260</v>
      </c>
      <c r="AU32">
        <v>410.27</v>
      </c>
      <c r="AV32">
        <v>214.78</v>
      </c>
      <c r="AX32" t="s">
        <v>260</v>
      </c>
      <c r="AY32">
        <v>410.27</v>
      </c>
      <c r="AZ32">
        <v>214.78</v>
      </c>
      <c r="BB32" t="s">
        <v>260</v>
      </c>
      <c r="BC32">
        <v>321.73</v>
      </c>
      <c r="BD32">
        <v>214.78</v>
      </c>
      <c r="BF32" t="s">
        <v>260</v>
      </c>
      <c r="BG32">
        <v>310.39999999999998</v>
      </c>
      <c r="BH32">
        <v>100.97</v>
      </c>
      <c r="BJ32" t="s">
        <v>260</v>
      </c>
      <c r="BK32">
        <v>310.39999999999998</v>
      </c>
      <c r="BL32">
        <v>36.880000000000003</v>
      </c>
      <c r="BN32" t="s">
        <v>260</v>
      </c>
      <c r="BO32">
        <v>223</v>
      </c>
      <c r="BP32">
        <v>26.73</v>
      </c>
      <c r="BQ32">
        <f t="shared" si="4"/>
        <v>0</v>
      </c>
      <c r="BR32" t="s">
        <v>261</v>
      </c>
      <c r="BS32">
        <v>1499.98</v>
      </c>
      <c r="BT32">
        <v>1418.1</v>
      </c>
      <c r="BV32" t="s">
        <v>261</v>
      </c>
      <c r="BW32">
        <v>1499.98</v>
      </c>
      <c r="BX32">
        <v>1418.1</v>
      </c>
      <c r="BZ32" t="s">
        <v>356</v>
      </c>
      <c r="CD32" t="s">
        <v>356</v>
      </c>
      <c r="CH32" t="s">
        <v>356</v>
      </c>
    </row>
    <row r="33" spans="1:88" x14ac:dyDescent="0.3">
      <c r="A33" t="s">
        <v>253</v>
      </c>
      <c r="B33" t="s">
        <v>234</v>
      </c>
      <c r="C33" t="s">
        <v>267</v>
      </c>
      <c r="D33">
        <f t="shared" si="0"/>
        <v>0</v>
      </c>
      <c r="E33">
        <f t="shared" si="1"/>
        <v>2845.05</v>
      </c>
      <c r="F33" s="75">
        <f t="shared" si="2"/>
        <v>0</v>
      </c>
      <c r="G33" t="s">
        <v>260</v>
      </c>
      <c r="H33">
        <v>532.26</v>
      </c>
      <c r="I33">
        <v>380.64</v>
      </c>
      <c r="J33" s="75">
        <f t="shared" si="6"/>
        <v>0</v>
      </c>
      <c r="L33" t="s">
        <v>260</v>
      </c>
      <c r="M33">
        <v>532.26</v>
      </c>
      <c r="N33">
        <v>380.64</v>
      </c>
      <c r="P33" t="s">
        <v>260</v>
      </c>
      <c r="Q33">
        <v>530.27</v>
      </c>
      <c r="R33">
        <v>380.64</v>
      </c>
      <c r="T33" t="s">
        <v>260</v>
      </c>
      <c r="U33">
        <v>530.27</v>
      </c>
      <c r="V33">
        <v>380.64</v>
      </c>
      <c r="X33" t="s">
        <v>260</v>
      </c>
      <c r="Y33">
        <v>530.27</v>
      </c>
      <c r="Z33">
        <v>380.64</v>
      </c>
      <c r="AB33" t="s">
        <v>260</v>
      </c>
      <c r="AC33">
        <v>530.27</v>
      </c>
      <c r="AD33">
        <v>380.64</v>
      </c>
      <c r="AG33" t="s">
        <v>260</v>
      </c>
      <c r="AH33">
        <v>530.27</v>
      </c>
      <c r="AI33">
        <v>365.91</v>
      </c>
      <c r="AL33" t="s">
        <v>260</v>
      </c>
      <c r="AM33">
        <v>410.27</v>
      </c>
      <c r="AN33">
        <v>324.77999999999997</v>
      </c>
      <c r="AP33" t="s">
        <v>261</v>
      </c>
      <c r="AQ33">
        <v>4842.0200000000004</v>
      </c>
      <c r="AR33">
        <v>4559.42</v>
      </c>
      <c r="AT33" t="s">
        <v>261</v>
      </c>
      <c r="AU33">
        <v>4842.0200000000004</v>
      </c>
      <c r="AV33">
        <v>4559.42</v>
      </c>
      <c r="AX33" t="s">
        <v>261</v>
      </c>
      <c r="AY33">
        <v>4842.0200000000004</v>
      </c>
      <c r="AZ33">
        <v>4559.42</v>
      </c>
      <c r="BB33" t="s">
        <v>261</v>
      </c>
      <c r="BC33">
        <v>4169.34</v>
      </c>
      <c r="BD33">
        <v>3928.87</v>
      </c>
      <c r="BF33" t="s">
        <v>261</v>
      </c>
      <c r="BG33">
        <v>3486.67</v>
      </c>
      <c r="BH33">
        <v>3301.12</v>
      </c>
      <c r="BJ33" t="s">
        <v>261</v>
      </c>
      <c r="BK33">
        <v>2781.44</v>
      </c>
      <c r="BL33">
        <v>2880.89</v>
      </c>
      <c r="BN33" t="s">
        <v>261</v>
      </c>
      <c r="BO33">
        <v>2140.71</v>
      </c>
      <c r="BP33">
        <v>2045.74</v>
      </c>
      <c r="BQ33">
        <f t="shared" si="4"/>
        <v>0</v>
      </c>
      <c r="BR33" t="s">
        <v>355</v>
      </c>
      <c r="BS33">
        <v>34898.03</v>
      </c>
      <c r="BT33">
        <v>27082.44</v>
      </c>
      <c r="BV33" t="s">
        <v>355</v>
      </c>
      <c r="BW33">
        <v>34898.03</v>
      </c>
      <c r="BX33">
        <v>27082.44</v>
      </c>
      <c r="BZ33" t="s">
        <v>263</v>
      </c>
      <c r="CA33">
        <v>3871.49</v>
      </c>
      <c r="CB33">
        <v>3020.64</v>
      </c>
      <c r="CD33" t="s">
        <v>263</v>
      </c>
      <c r="CE33">
        <v>3020.64</v>
      </c>
      <c r="CF33">
        <v>3020.64</v>
      </c>
      <c r="CH33" t="s">
        <v>263</v>
      </c>
      <c r="CI33">
        <v>3020.64</v>
      </c>
      <c r="CJ33">
        <v>3020.64</v>
      </c>
    </row>
    <row r="34" spans="1:88" x14ac:dyDescent="0.3">
      <c r="A34" t="s">
        <v>245</v>
      </c>
      <c r="B34" t="s">
        <v>116</v>
      </c>
      <c r="C34" t="s">
        <v>268</v>
      </c>
      <c r="D34">
        <f t="shared" si="0"/>
        <v>6082.66</v>
      </c>
      <c r="E34">
        <f t="shared" si="1"/>
        <v>5801.5</v>
      </c>
      <c r="F34" s="75">
        <f t="shared" si="2"/>
        <v>0</v>
      </c>
      <c r="G34" t="s">
        <v>261</v>
      </c>
      <c r="H34">
        <v>8306.7900000000009</v>
      </c>
      <c r="I34">
        <v>7053.62</v>
      </c>
      <c r="J34" s="75">
        <f t="shared" si="6"/>
        <v>0</v>
      </c>
      <c r="L34" t="s">
        <v>261</v>
      </c>
      <c r="M34">
        <v>8276.81</v>
      </c>
      <c r="N34">
        <v>7053.62</v>
      </c>
      <c r="P34" t="s">
        <v>261</v>
      </c>
      <c r="Q34">
        <v>8246.83</v>
      </c>
      <c r="R34">
        <v>7053.62</v>
      </c>
      <c r="T34" t="s">
        <v>261</v>
      </c>
      <c r="U34">
        <v>8246.83</v>
      </c>
      <c r="V34">
        <v>7053.62</v>
      </c>
      <c r="X34" t="s">
        <v>261</v>
      </c>
      <c r="Y34">
        <v>8246.83</v>
      </c>
      <c r="Z34">
        <v>7053.62</v>
      </c>
      <c r="AB34" t="s">
        <v>261</v>
      </c>
      <c r="AC34">
        <v>7099.46</v>
      </c>
      <c r="AD34">
        <v>6451.13</v>
      </c>
      <c r="AG34" t="s">
        <v>261</v>
      </c>
      <c r="AH34">
        <v>6394.99</v>
      </c>
      <c r="AI34">
        <v>5818.72</v>
      </c>
      <c r="AL34" t="s">
        <v>261</v>
      </c>
      <c r="AM34">
        <v>6163.4</v>
      </c>
      <c r="AN34">
        <v>5187.17</v>
      </c>
      <c r="AP34" t="s">
        <v>355</v>
      </c>
      <c r="AQ34">
        <v>89118.56</v>
      </c>
      <c r="AR34">
        <v>79276.78</v>
      </c>
      <c r="AT34" t="s">
        <v>355</v>
      </c>
      <c r="AU34">
        <v>89118.56</v>
      </c>
      <c r="AV34">
        <v>79276.78</v>
      </c>
      <c r="AX34" t="s">
        <v>355</v>
      </c>
      <c r="AY34">
        <v>89118.56</v>
      </c>
      <c r="AZ34">
        <v>79276.78</v>
      </c>
      <c r="BB34" t="s">
        <v>355</v>
      </c>
      <c r="BC34">
        <v>76683.92</v>
      </c>
      <c r="BD34">
        <v>66850.649999999994</v>
      </c>
      <c r="BF34" t="s">
        <v>355</v>
      </c>
      <c r="BG34">
        <v>67147.23</v>
      </c>
      <c r="BH34">
        <v>57784.92</v>
      </c>
      <c r="BJ34" t="s">
        <v>355</v>
      </c>
      <c r="BK34">
        <v>54467.64</v>
      </c>
      <c r="BL34">
        <v>48794.61</v>
      </c>
      <c r="BN34" t="s">
        <v>355</v>
      </c>
      <c r="BO34">
        <v>44867.95</v>
      </c>
      <c r="BP34">
        <v>39472.5</v>
      </c>
      <c r="BQ34">
        <f t="shared" si="4"/>
        <v>0</v>
      </c>
      <c r="BR34" t="s">
        <v>205</v>
      </c>
      <c r="BV34" t="s">
        <v>205</v>
      </c>
      <c r="BZ34" t="s">
        <v>264</v>
      </c>
      <c r="CA34">
        <v>6175</v>
      </c>
      <c r="CB34">
        <v>6175</v>
      </c>
      <c r="CD34" t="s">
        <v>264</v>
      </c>
      <c r="CE34">
        <v>6175</v>
      </c>
      <c r="CF34">
        <v>6175</v>
      </c>
      <c r="CH34" t="s">
        <v>264</v>
      </c>
      <c r="CI34">
        <v>6175</v>
      </c>
      <c r="CJ34">
        <v>6175</v>
      </c>
    </row>
    <row r="35" spans="1:88" x14ac:dyDescent="0.3">
      <c r="A35" t="s">
        <v>253</v>
      </c>
      <c r="B35" t="s">
        <v>266</v>
      </c>
      <c r="C35" t="s">
        <v>269</v>
      </c>
      <c r="D35">
        <f t="shared" ref="D35:D66" si="7">SUMIFS(H:H,G:G,C35)</f>
        <v>35466.51</v>
      </c>
      <c r="E35">
        <f t="shared" ref="E35:E66" si="8">SUMIFS(I:I,G:G,C35)</f>
        <v>29188.43</v>
      </c>
      <c r="F35" s="75">
        <f t="shared" si="2"/>
        <v>-134597.82</v>
      </c>
      <c r="G35" t="s">
        <v>355</v>
      </c>
      <c r="H35">
        <v>134597.82</v>
      </c>
      <c r="I35">
        <v>122201.82</v>
      </c>
      <c r="J35" s="75">
        <f t="shared" si="6"/>
        <v>-122201.82</v>
      </c>
      <c r="L35" t="s">
        <v>355</v>
      </c>
      <c r="M35">
        <v>134567.84</v>
      </c>
      <c r="N35">
        <v>122201.82</v>
      </c>
      <c r="P35" t="s">
        <v>355</v>
      </c>
      <c r="Q35">
        <v>133092.10999999999</v>
      </c>
      <c r="R35">
        <v>122201.82</v>
      </c>
      <c r="T35" t="s">
        <v>355</v>
      </c>
      <c r="U35">
        <v>133092.10999999999</v>
      </c>
      <c r="V35">
        <v>122201.82</v>
      </c>
      <c r="X35" t="s">
        <v>355</v>
      </c>
      <c r="Y35">
        <v>133092.10999999999</v>
      </c>
      <c r="Z35">
        <v>122201.82</v>
      </c>
      <c r="AB35" t="s">
        <v>355</v>
      </c>
      <c r="AC35">
        <v>120951.29</v>
      </c>
      <c r="AD35">
        <v>109258.87</v>
      </c>
      <c r="AG35" t="s">
        <v>355</v>
      </c>
      <c r="AH35">
        <v>110298.79</v>
      </c>
      <c r="AI35">
        <v>99204.79</v>
      </c>
      <c r="AL35" t="s">
        <v>355</v>
      </c>
      <c r="AM35">
        <v>102288.87</v>
      </c>
      <c r="AN35">
        <v>89369.94</v>
      </c>
      <c r="AP35" t="s">
        <v>205</v>
      </c>
      <c r="AT35" t="s">
        <v>205</v>
      </c>
      <c r="AX35" t="s">
        <v>205</v>
      </c>
      <c r="BB35" t="s">
        <v>205</v>
      </c>
      <c r="BF35" t="s">
        <v>205</v>
      </c>
      <c r="BJ35" t="s">
        <v>205</v>
      </c>
      <c r="BN35" t="s">
        <v>205</v>
      </c>
      <c r="BQ35">
        <f t="shared" si="4"/>
        <v>-122201.82</v>
      </c>
      <c r="BR35" t="s">
        <v>356</v>
      </c>
      <c r="BV35" t="s">
        <v>356</v>
      </c>
      <c r="BZ35" t="s">
        <v>265</v>
      </c>
      <c r="CA35">
        <v>31815.62</v>
      </c>
      <c r="CB35">
        <v>30451.67</v>
      </c>
      <c r="CD35" t="s">
        <v>265</v>
      </c>
      <c r="CE35">
        <v>31815.62</v>
      </c>
      <c r="CF35">
        <v>30451.67</v>
      </c>
      <c r="CH35" t="s">
        <v>265</v>
      </c>
      <c r="CI35">
        <v>31815.62</v>
      </c>
      <c r="CJ35">
        <v>30451.67</v>
      </c>
    </row>
    <row r="36" spans="1:88" x14ac:dyDescent="0.3">
      <c r="A36" t="s">
        <v>245</v>
      </c>
      <c r="B36" t="s">
        <v>116</v>
      </c>
      <c r="C36" t="s">
        <v>520</v>
      </c>
      <c r="D36">
        <f t="shared" si="7"/>
        <v>3254.56</v>
      </c>
      <c r="E36">
        <f t="shared" si="8"/>
        <v>0</v>
      </c>
      <c r="F36" s="75">
        <f t="shared" si="2"/>
        <v>0</v>
      </c>
      <c r="G36" t="s">
        <v>205</v>
      </c>
      <c r="L36" t="s">
        <v>205</v>
      </c>
      <c r="P36" t="s">
        <v>205</v>
      </c>
      <c r="T36" t="s">
        <v>205</v>
      </c>
      <c r="X36" t="s">
        <v>205</v>
      </c>
      <c r="AB36" t="s">
        <v>205</v>
      </c>
      <c r="AC36"/>
      <c r="AD36"/>
      <c r="AG36" t="s">
        <v>205</v>
      </c>
      <c r="AL36" t="s">
        <v>205</v>
      </c>
      <c r="AP36" t="s">
        <v>356</v>
      </c>
      <c r="AT36" t="s">
        <v>356</v>
      </c>
      <c r="AX36" t="s">
        <v>356</v>
      </c>
      <c r="BB36" t="s">
        <v>356</v>
      </c>
      <c r="BF36" t="s">
        <v>356</v>
      </c>
      <c r="BJ36" t="s">
        <v>356</v>
      </c>
      <c r="BN36" t="s">
        <v>356</v>
      </c>
      <c r="BQ36">
        <f t="shared" si="4"/>
        <v>0</v>
      </c>
      <c r="BR36" t="s">
        <v>263</v>
      </c>
      <c r="BS36">
        <v>0</v>
      </c>
      <c r="BT36">
        <v>9061.92</v>
      </c>
      <c r="BV36" t="s">
        <v>263</v>
      </c>
      <c r="BW36">
        <v>0</v>
      </c>
      <c r="BX36">
        <v>9061.92</v>
      </c>
      <c r="BZ36" t="s">
        <v>357</v>
      </c>
      <c r="CA36">
        <v>41862.11</v>
      </c>
      <c r="CB36">
        <v>39647.31</v>
      </c>
      <c r="CD36" t="s">
        <v>357</v>
      </c>
      <c r="CE36">
        <v>41011.26</v>
      </c>
      <c r="CF36">
        <v>39647.31</v>
      </c>
      <c r="CH36" t="s">
        <v>357</v>
      </c>
      <c r="CI36">
        <v>41011.26</v>
      </c>
      <c r="CJ36">
        <v>39647.31</v>
      </c>
    </row>
    <row r="37" spans="1:88" x14ac:dyDescent="0.3">
      <c r="A37" t="s">
        <v>245</v>
      </c>
      <c r="B37" t="s">
        <v>116</v>
      </c>
      <c r="C37" t="s">
        <v>270</v>
      </c>
      <c r="D37">
        <f t="shared" si="7"/>
        <v>8749.92</v>
      </c>
      <c r="E37">
        <f t="shared" si="8"/>
        <v>9001.23</v>
      </c>
      <c r="F37" s="75">
        <f t="shared" si="2"/>
        <v>0</v>
      </c>
      <c r="G37" t="s">
        <v>356</v>
      </c>
      <c r="J37" s="75">
        <f t="shared" ref="J37:J42" si="9">SUMIFS(E:E,C:C,G37)-I37</f>
        <v>0</v>
      </c>
      <c r="L37" t="s">
        <v>356</v>
      </c>
      <c r="P37" t="s">
        <v>356</v>
      </c>
      <c r="T37" t="s">
        <v>356</v>
      </c>
      <c r="X37" t="s">
        <v>356</v>
      </c>
      <c r="AB37" t="s">
        <v>356</v>
      </c>
      <c r="AC37"/>
      <c r="AD37"/>
      <c r="AG37" t="s">
        <v>356</v>
      </c>
      <c r="AL37" t="s">
        <v>356</v>
      </c>
      <c r="AP37" t="s">
        <v>263</v>
      </c>
      <c r="AQ37">
        <v>0</v>
      </c>
      <c r="AR37">
        <v>24165.119999999999</v>
      </c>
      <c r="AT37" t="s">
        <v>263</v>
      </c>
      <c r="AU37">
        <v>0</v>
      </c>
      <c r="AV37">
        <v>24165.119999999999</v>
      </c>
      <c r="AX37" t="s">
        <v>263</v>
      </c>
      <c r="AY37">
        <v>0</v>
      </c>
      <c r="AZ37">
        <v>24165.119999999999</v>
      </c>
      <c r="BB37" t="s">
        <v>263</v>
      </c>
      <c r="BC37">
        <v>0</v>
      </c>
      <c r="BD37">
        <v>21144.48</v>
      </c>
      <c r="BF37" t="s">
        <v>263</v>
      </c>
      <c r="BG37">
        <v>0</v>
      </c>
      <c r="BH37">
        <v>18123.84</v>
      </c>
      <c r="BJ37" t="s">
        <v>263</v>
      </c>
      <c r="BK37">
        <v>0</v>
      </c>
      <c r="BL37">
        <v>15103.2</v>
      </c>
      <c r="BN37" t="s">
        <v>263</v>
      </c>
      <c r="BO37">
        <v>0</v>
      </c>
      <c r="BP37">
        <v>12082.56</v>
      </c>
      <c r="BQ37">
        <f t="shared" si="4"/>
        <v>0</v>
      </c>
      <c r="BR37" t="s">
        <v>264</v>
      </c>
      <c r="BS37">
        <v>19225</v>
      </c>
      <c r="BT37">
        <v>18525</v>
      </c>
      <c r="BV37" t="s">
        <v>264</v>
      </c>
      <c r="BW37">
        <v>19225</v>
      </c>
      <c r="BX37">
        <v>18525</v>
      </c>
      <c r="BZ37" t="s">
        <v>358</v>
      </c>
      <c r="CD37" t="s">
        <v>358</v>
      </c>
      <c r="CH37" t="s">
        <v>358</v>
      </c>
    </row>
    <row r="38" spans="1:88" x14ac:dyDescent="0.3">
      <c r="A38" t="s">
        <v>253</v>
      </c>
      <c r="B38" t="s">
        <v>32</v>
      </c>
      <c r="C38" t="s">
        <v>271</v>
      </c>
      <c r="D38">
        <f t="shared" si="7"/>
        <v>35948.400000000001</v>
      </c>
      <c r="E38">
        <f t="shared" si="8"/>
        <v>38992.54</v>
      </c>
      <c r="F38" s="75">
        <f t="shared" ref="F38:F69" si="10">SUMIFS(D:D,C:C,G38)-H38</f>
        <v>0</v>
      </c>
      <c r="G38" t="s">
        <v>263</v>
      </c>
      <c r="H38">
        <v>0</v>
      </c>
      <c r="I38">
        <v>37098.53</v>
      </c>
      <c r="J38" s="75">
        <f t="shared" si="9"/>
        <v>0</v>
      </c>
      <c r="L38" t="s">
        <v>263</v>
      </c>
      <c r="M38">
        <v>0</v>
      </c>
      <c r="N38">
        <v>37098.53</v>
      </c>
      <c r="P38" t="s">
        <v>263</v>
      </c>
      <c r="Q38">
        <v>0</v>
      </c>
      <c r="R38">
        <v>37098.53</v>
      </c>
      <c r="T38" t="s">
        <v>263</v>
      </c>
      <c r="U38">
        <v>0</v>
      </c>
      <c r="V38">
        <v>37098.53</v>
      </c>
      <c r="X38" t="s">
        <v>263</v>
      </c>
      <c r="Y38">
        <v>0</v>
      </c>
      <c r="Z38">
        <v>37098.53</v>
      </c>
      <c r="AB38" t="s">
        <v>263</v>
      </c>
      <c r="AC38">
        <v>0</v>
      </c>
      <c r="AD38">
        <v>33227.040000000001</v>
      </c>
      <c r="AG38" t="s">
        <v>263</v>
      </c>
      <c r="AH38">
        <v>0</v>
      </c>
      <c r="AI38">
        <v>30206.400000000001</v>
      </c>
      <c r="AL38" t="s">
        <v>263</v>
      </c>
      <c r="AM38">
        <v>0</v>
      </c>
      <c r="AN38">
        <v>27185.759999999998</v>
      </c>
      <c r="AP38" t="s">
        <v>264</v>
      </c>
      <c r="AQ38">
        <v>51850</v>
      </c>
      <c r="AR38">
        <v>49400</v>
      </c>
      <c r="AT38" t="s">
        <v>264</v>
      </c>
      <c r="AU38">
        <v>51850</v>
      </c>
      <c r="AV38">
        <v>49400</v>
      </c>
      <c r="AX38" t="s">
        <v>264</v>
      </c>
      <c r="AY38">
        <v>51850</v>
      </c>
      <c r="AZ38">
        <v>49400</v>
      </c>
      <c r="BB38" t="s">
        <v>264</v>
      </c>
      <c r="BC38">
        <v>45325</v>
      </c>
      <c r="BD38">
        <v>43225</v>
      </c>
      <c r="BF38" t="s">
        <v>264</v>
      </c>
      <c r="BG38">
        <v>38800</v>
      </c>
      <c r="BH38">
        <v>37050</v>
      </c>
      <c r="BJ38" t="s">
        <v>264</v>
      </c>
      <c r="BK38">
        <v>32275</v>
      </c>
      <c r="BL38">
        <v>30875</v>
      </c>
      <c r="BN38" t="s">
        <v>264</v>
      </c>
      <c r="BO38">
        <v>25750</v>
      </c>
      <c r="BP38">
        <v>24700</v>
      </c>
      <c r="BQ38">
        <f t="shared" ref="BQ38:BQ69" si="11">SUMIFS(E:E,C:C,G38)-I38</f>
        <v>0</v>
      </c>
      <c r="BR38" t="s">
        <v>265</v>
      </c>
      <c r="BS38">
        <v>107801.52</v>
      </c>
      <c r="BT38">
        <v>91355.03</v>
      </c>
      <c r="BV38" t="s">
        <v>265</v>
      </c>
      <c r="BW38">
        <v>107801.52</v>
      </c>
      <c r="BX38">
        <v>91355.03</v>
      </c>
      <c r="BZ38" t="s">
        <v>267</v>
      </c>
      <c r="CA38">
        <v>296.17</v>
      </c>
      <c r="CB38">
        <v>231.08</v>
      </c>
      <c r="CD38" t="s">
        <v>267</v>
      </c>
      <c r="CE38">
        <v>231.08</v>
      </c>
      <c r="CF38">
        <v>231.08</v>
      </c>
      <c r="CH38" t="s">
        <v>267</v>
      </c>
      <c r="CI38">
        <v>231.08</v>
      </c>
      <c r="CJ38">
        <v>231.08</v>
      </c>
    </row>
    <row r="39" spans="1:88" x14ac:dyDescent="0.3">
      <c r="A39" t="s">
        <v>253</v>
      </c>
      <c r="B39" t="s">
        <v>33</v>
      </c>
      <c r="C39" t="s">
        <v>272</v>
      </c>
      <c r="D39">
        <f t="shared" si="7"/>
        <v>2233</v>
      </c>
      <c r="E39">
        <f t="shared" si="8"/>
        <v>2034</v>
      </c>
      <c r="F39" s="75">
        <f t="shared" si="10"/>
        <v>0</v>
      </c>
      <c r="G39" t="s">
        <v>264</v>
      </c>
      <c r="H39">
        <v>79417.72</v>
      </c>
      <c r="I39">
        <v>75100.33</v>
      </c>
      <c r="J39" s="75">
        <f t="shared" si="9"/>
        <v>0</v>
      </c>
      <c r="L39" t="s">
        <v>264</v>
      </c>
      <c r="M39">
        <v>79417.72</v>
      </c>
      <c r="N39">
        <v>75100.33</v>
      </c>
      <c r="P39" t="s">
        <v>264</v>
      </c>
      <c r="Q39">
        <v>79417.72</v>
      </c>
      <c r="R39">
        <v>75100.33</v>
      </c>
      <c r="T39" t="s">
        <v>264</v>
      </c>
      <c r="U39">
        <v>79417.72</v>
      </c>
      <c r="V39">
        <v>75100.33</v>
      </c>
      <c r="X39" t="s">
        <v>264</v>
      </c>
      <c r="Y39">
        <v>77950</v>
      </c>
      <c r="Z39">
        <v>75100.33</v>
      </c>
      <c r="AB39" t="s">
        <v>264</v>
      </c>
      <c r="AC39">
        <v>71425</v>
      </c>
      <c r="AD39">
        <v>68925</v>
      </c>
      <c r="AG39" t="s">
        <v>264</v>
      </c>
      <c r="AH39">
        <v>64900</v>
      </c>
      <c r="AI39">
        <v>62750</v>
      </c>
      <c r="AL39" t="s">
        <v>264</v>
      </c>
      <c r="AM39">
        <v>58375</v>
      </c>
      <c r="AN39">
        <v>55575</v>
      </c>
      <c r="AP39" t="s">
        <v>519</v>
      </c>
      <c r="AQ39">
        <v>23369.200000000001</v>
      </c>
      <c r="AR39">
        <v>0</v>
      </c>
      <c r="AT39" t="s">
        <v>519</v>
      </c>
      <c r="AU39">
        <v>23369.200000000001</v>
      </c>
      <c r="AV39">
        <v>0</v>
      </c>
      <c r="AX39" t="s">
        <v>519</v>
      </c>
      <c r="AY39">
        <v>23583.4</v>
      </c>
      <c r="AZ39">
        <v>0</v>
      </c>
      <c r="BB39" t="s">
        <v>519</v>
      </c>
      <c r="BC39">
        <v>18866.72</v>
      </c>
      <c r="BD39">
        <v>0</v>
      </c>
      <c r="BF39" t="s">
        <v>519</v>
      </c>
      <c r="BG39">
        <v>14150.04</v>
      </c>
      <c r="BH39">
        <v>0</v>
      </c>
      <c r="BJ39" t="s">
        <v>519</v>
      </c>
      <c r="BK39">
        <v>9433.36</v>
      </c>
      <c r="BL39">
        <v>0</v>
      </c>
      <c r="BN39" t="s">
        <v>519</v>
      </c>
      <c r="BO39">
        <v>4716.68</v>
      </c>
      <c r="BP39">
        <v>0</v>
      </c>
      <c r="BQ39">
        <f t="shared" si="11"/>
        <v>0</v>
      </c>
      <c r="BR39" t="s">
        <v>357</v>
      </c>
      <c r="BS39">
        <v>127026.52</v>
      </c>
      <c r="BT39">
        <v>118941.95</v>
      </c>
      <c r="BV39" t="s">
        <v>357</v>
      </c>
      <c r="BW39">
        <v>127026.52</v>
      </c>
      <c r="BX39">
        <v>118941.95</v>
      </c>
      <c r="BZ39" t="s">
        <v>268</v>
      </c>
      <c r="CA39">
        <v>472.4</v>
      </c>
      <c r="CB39">
        <v>472.4</v>
      </c>
      <c r="CD39" t="s">
        <v>268</v>
      </c>
      <c r="CE39">
        <v>472.4</v>
      </c>
      <c r="CF39">
        <v>472.4</v>
      </c>
      <c r="CH39" t="s">
        <v>268</v>
      </c>
      <c r="CI39">
        <v>472.4</v>
      </c>
      <c r="CJ39">
        <v>472.4</v>
      </c>
    </row>
    <row r="40" spans="1:88" x14ac:dyDescent="0.3">
      <c r="A40" t="s">
        <v>245</v>
      </c>
      <c r="B40" t="s">
        <v>116</v>
      </c>
      <c r="C40" t="s">
        <v>273</v>
      </c>
      <c r="D40">
        <f t="shared" si="7"/>
        <v>5414.5</v>
      </c>
      <c r="E40">
        <f t="shared" si="8"/>
        <v>5145</v>
      </c>
      <c r="F40" s="75">
        <f t="shared" si="10"/>
        <v>0</v>
      </c>
      <c r="G40" t="s">
        <v>519</v>
      </c>
      <c r="H40">
        <v>42235.92</v>
      </c>
      <c r="I40">
        <v>0</v>
      </c>
      <c r="J40" s="75">
        <f t="shared" si="9"/>
        <v>0</v>
      </c>
      <c r="L40" t="s">
        <v>519</v>
      </c>
      <c r="M40">
        <v>42235.92</v>
      </c>
      <c r="N40">
        <v>0</v>
      </c>
      <c r="P40" t="s">
        <v>519</v>
      </c>
      <c r="Q40">
        <v>42235.92</v>
      </c>
      <c r="R40">
        <v>0</v>
      </c>
      <c r="T40" t="s">
        <v>519</v>
      </c>
      <c r="U40">
        <v>42235.92</v>
      </c>
      <c r="V40">
        <v>0</v>
      </c>
      <c r="X40" t="s">
        <v>519</v>
      </c>
      <c r="Y40">
        <v>42235.92</v>
      </c>
      <c r="Z40">
        <v>0</v>
      </c>
      <c r="AB40" t="s">
        <v>519</v>
      </c>
      <c r="AC40">
        <v>37519.24</v>
      </c>
      <c r="AD40">
        <v>0</v>
      </c>
      <c r="AG40" t="s">
        <v>519</v>
      </c>
      <c r="AH40">
        <v>32802.559999999998</v>
      </c>
      <c r="AI40">
        <v>0</v>
      </c>
      <c r="AL40" t="s">
        <v>519</v>
      </c>
      <c r="AM40">
        <v>28085.88</v>
      </c>
      <c r="AN40">
        <v>0</v>
      </c>
      <c r="AP40" t="s">
        <v>265</v>
      </c>
      <c r="AQ40">
        <v>302834.46999999997</v>
      </c>
      <c r="AR40">
        <v>243613.43</v>
      </c>
      <c r="AT40" t="s">
        <v>265</v>
      </c>
      <c r="AU40">
        <v>302834.46999999997</v>
      </c>
      <c r="AV40">
        <v>243613.43</v>
      </c>
      <c r="AX40" t="s">
        <v>265</v>
      </c>
      <c r="AY40">
        <v>305634.46999999997</v>
      </c>
      <c r="AZ40">
        <v>243613.43</v>
      </c>
      <c r="BB40" t="s">
        <v>265</v>
      </c>
      <c r="BC40">
        <v>265570.19</v>
      </c>
      <c r="BD40">
        <v>213161.75</v>
      </c>
      <c r="BF40" t="s">
        <v>265</v>
      </c>
      <c r="BG40">
        <v>230649.48</v>
      </c>
      <c r="BH40">
        <v>182710.07</v>
      </c>
      <c r="BJ40" t="s">
        <v>265</v>
      </c>
      <c r="BK40">
        <v>195245.44</v>
      </c>
      <c r="BL40">
        <v>152258.39000000001</v>
      </c>
      <c r="BN40" t="s">
        <v>265</v>
      </c>
      <c r="BO40">
        <v>140768.44</v>
      </c>
      <c r="BP40">
        <v>121806.71</v>
      </c>
      <c r="BQ40">
        <f t="shared" si="11"/>
        <v>0</v>
      </c>
      <c r="BR40" t="s">
        <v>358</v>
      </c>
      <c r="BV40" t="s">
        <v>358</v>
      </c>
      <c r="BZ40" t="s">
        <v>269</v>
      </c>
      <c r="CA40">
        <v>2453</v>
      </c>
      <c r="CB40">
        <v>2348.67</v>
      </c>
      <c r="CD40" t="s">
        <v>269</v>
      </c>
      <c r="CE40">
        <v>2453</v>
      </c>
      <c r="CF40">
        <v>2348.67</v>
      </c>
      <c r="CH40" t="s">
        <v>269</v>
      </c>
      <c r="CI40">
        <v>2453</v>
      </c>
      <c r="CJ40">
        <v>2348.67</v>
      </c>
    </row>
    <row r="41" spans="1:88" x14ac:dyDescent="0.3">
      <c r="A41" t="s">
        <v>253</v>
      </c>
      <c r="B41" t="s">
        <v>34</v>
      </c>
      <c r="C41" t="s">
        <v>274</v>
      </c>
      <c r="D41">
        <f t="shared" si="7"/>
        <v>22438.54</v>
      </c>
      <c r="E41">
        <f t="shared" si="8"/>
        <v>22239.61</v>
      </c>
      <c r="F41" s="75">
        <f t="shared" si="10"/>
        <v>0</v>
      </c>
      <c r="G41" t="s">
        <v>265</v>
      </c>
      <c r="H41">
        <v>455431.04</v>
      </c>
      <c r="I41">
        <v>378092.33</v>
      </c>
      <c r="J41" s="75">
        <f t="shared" si="9"/>
        <v>0</v>
      </c>
      <c r="L41" t="s">
        <v>265</v>
      </c>
      <c r="M41">
        <v>455431.04</v>
      </c>
      <c r="N41">
        <v>378092.33</v>
      </c>
      <c r="P41" t="s">
        <v>265</v>
      </c>
      <c r="Q41">
        <v>455431.04</v>
      </c>
      <c r="R41">
        <v>378092.33</v>
      </c>
      <c r="T41" t="s">
        <v>265</v>
      </c>
      <c r="U41">
        <v>455431.04</v>
      </c>
      <c r="V41">
        <v>378092.33</v>
      </c>
      <c r="X41" t="s">
        <v>265</v>
      </c>
      <c r="Y41">
        <v>452440.82</v>
      </c>
      <c r="Z41">
        <v>378092.33</v>
      </c>
      <c r="AB41" t="s">
        <v>265</v>
      </c>
      <c r="AC41">
        <v>415677.37</v>
      </c>
      <c r="AD41">
        <v>346276.71</v>
      </c>
      <c r="AG41" t="s">
        <v>265</v>
      </c>
      <c r="AH41">
        <v>378063.07</v>
      </c>
      <c r="AI41">
        <v>314461.09000000003</v>
      </c>
      <c r="AL41" t="s">
        <v>265</v>
      </c>
      <c r="AM41">
        <v>340448.77</v>
      </c>
      <c r="AN41">
        <v>279840.05</v>
      </c>
      <c r="AP41" t="s">
        <v>357</v>
      </c>
      <c r="AQ41">
        <v>378053.67</v>
      </c>
      <c r="AR41">
        <v>317178.55</v>
      </c>
      <c r="AT41" t="s">
        <v>357</v>
      </c>
      <c r="AU41">
        <v>378053.67</v>
      </c>
      <c r="AV41">
        <v>317178.55</v>
      </c>
      <c r="AX41" t="s">
        <v>357</v>
      </c>
      <c r="AY41">
        <v>381067.87</v>
      </c>
      <c r="AZ41">
        <v>317178.55</v>
      </c>
      <c r="BB41" t="s">
        <v>357</v>
      </c>
      <c r="BC41">
        <v>329761.90999999997</v>
      </c>
      <c r="BD41">
        <v>277531.23</v>
      </c>
      <c r="BF41" t="s">
        <v>357</v>
      </c>
      <c r="BG41">
        <v>283599.52</v>
      </c>
      <c r="BH41">
        <v>237883.91</v>
      </c>
      <c r="BJ41" t="s">
        <v>357</v>
      </c>
      <c r="BK41">
        <v>236953.8</v>
      </c>
      <c r="BL41">
        <v>198236.59</v>
      </c>
      <c r="BN41" t="s">
        <v>357</v>
      </c>
      <c r="BO41">
        <v>171235.12</v>
      </c>
      <c r="BP41">
        <v>158589.26999999999</v>
      </c>
      <c r="BQ41">
        <f t="shared" si="11"/>
        <v>0</v>
      </c>
      <c r="BR41" t="s">
        <v>267</v>
      </c>
      <c r="BS41">
        <v>0</v>
      </c>
      <c r="BT41">
        <v>693.24</v>
      </c>
      <c r="BV41" t="s">
        <v>267</v>
      </c>
      <c r="BW41">
        <v>0</v>
      </c>
      <c r="BX41">
        <v>693.24</v>
      </c>
      <c r="BZ41" t="s">
        <v>359</v>
      </c>
      <c r="CA41">
        <v>3221.57</v>
      </c>
      <c r="CB41">
        <v>3052.15</v>
      </c>
      <c r="CD41" t="s">
        <v>359</v>
      </c>
      <c r="CE41">
        <v>3156.48</v>
      </c>
      <c r="CF41">
        <v>3052.15</v>
      </c>
      <c r="CH41" t="s">
        <v>359</v>
      </c>
      <c r="CI41">
        <v>3156.48</v>
      </c>
      <c r="CJ41">
        <v>3052.15</v>
      </c>
    </row>
    <row r="42" spans="1:88" x14ac:dyDescent="0.3">
      <c r="A42" t="s">
        <v>253</v>
      </c>
      <c r="B42" t="s">
        <v>51</v>
      </c>
      <c r="C42" t="s">
        <v>275</v>
      </c>
      <c r="D42">
        <f t="shared" si="7"/>
        <v>0</v>
      </c>
      <c r="E42">
        <f t="shared" si="8"/>
        <v>0</v>
      </c>
      <c r="F42" s="75">
        <f t="shared" si="10"/>
        <v>-577084.68000000005</v>
      </c>
      <c r="G42" t="s">
        <v>357</v>
      </c>
      <c r="H42">
        <v>577084.68000000005</v>
      </c>
      <c r="I42">
        <v>490291.19</v>
      </c>
      <c r="J42" s="75">
        <f t="shared" si="9"/>
        <v>-490291.19</v>
      </c>
      <c r="L42" t="s">
        <v>357</v>
      </c>
      <c r="M42">
        <v>577084.68000000005</v>
      </c>
      <c r="N42">
        <v>490291.19</v>
      </c>
      <c r="P42" t="s">
        <v>357</v>
      </c>
      <c r="Q42">
        <v>577084.68000000005</v>
      </c>
      <c r="R42">
        <v>490291.19</v>
      </c>
      <c r="T42" t="s">
        <v>357</v>
      </c>
      <c r="U42">
        <v>577084.68000000005</v>
      </c>
      <c r="V42">
        <v>490291.19</v>
      </c>
      <c r="X42" t="s">
        <v>357</v>
      </c>
      <c r="Y42">
        <v>572626.74</v>
      </c>
      <c r="Z42">
        <v>490291.19</v>
      </c>
      <c r="AB42" t="s">
        <v>357</v>
      </c>
      <c r="AC42">
        <v>524621.61</v>
      </c>
      <c r="AD42">
        <v>448428.75</v>
      </c>
      <c r="AG42" t="s">
        <v>357</v>
      </c>
      <c r="AH42">
        <v>475765.63</v>
      </c>
      <c r="AI42">
        <v>407417.49</v>
      </c>
      <c r="AL42" t="s">
        <v>357</v>
      </c>
      <c r="AM42">
        <v>426909.65</v>
      </c>
      <c r="AN42">
        <v>362600.81</v>
      </c>
      <c r="AP42" t="s">
        <v>358</v>
      </c>
      <c r="AT42" t="s">
        <v>358</v>
      </c>
      <c r="AX42" t="s">
        <v>358</v>
      </c>
      <c r="BB42" t="s">
        <v>358</v>
      </c>
      <c r="BF42" t="s">
        <v>358</v>
      </c>
      <c r="BJ42" t="s">
        <v>358</v>
      </c>
      <c r="BN42" t="s">
        <v>358</v>
      </c>
      <c r="BQ42">
        <f t="shared" si="11"/>
        <v>-490291.19</v>
      </c>
      <c r="BR42" t="s">
        <v>268</v>
      </c>
      <c r="BS42">
        <v>1470.76</v>
      </c>
      <c r="BT42">
        <v>1417.2</v>
      </c>
      <c r="BV42" t="s">
        <v>268</v>
      </c>
      <c r="BW42">
        <v>1470.76</v>
      </c>
      <c r="BX42">
        <v>1417.2</v>
      </c>
      <c r="BZ42" t="s">
        <v>360</v>
      </c>
      <c r="CD42" t="s">
        <v>360</v>
      </c>
      <c r="CH42" t="s">
        <v>360</v>
      </c>
    </row>
    <row r="43" spans="1:88" x14ac:dyDescent="0.3">
      <c r="A43" t="s">
        <v>245</v>
      </c>
      <c r="B43" t="s">
        <v>124</v>
      </c>
      <c r="C43" t="s">
        <v>124</v>
      </c>
      <c r="D43">
        <f t="shared" si="7"/>
        <v>2104.16</v>
      </c>
      <c r="E43">
        <f t="shared" si="8"/>
        <v>0</v>
      </c>
      <c r="F43" s="75">
        <f t="shared" si="10"/>
        <v>0</v>
      </c>
      <c r="G43" t="s">
        <v>358</v>
      </c>
      <c r="J43" s="75">
        <f t="shared" ref="J43:J47" si="12">SUMIFS(E:E,C:C,G43)-I43</f>
        <v>0</v>
      </c>
      <c r="L43" t="s">
        <v>358</v>
      </c>
      <c r="P43" t="s">
        <v>358</v>
      </c>
      <c r="T43" t="s">
        <v>358</v>
      </c>
      <c r="X43" t="s">
        <v>358</v>
      </c>
      <c r="AB43" t="s">
        <v>358</v>
      </c>
      <c r="AC43"/>
      <c r="AD43"/>
      <c r="AG43" t="s">
        <v>358</v>
      </c>
      <c r="AL43" t="s">
        <v>358</v>
      </c>
      <c r="AP43" t="s">
        <v>267</v>
      </c>
      <c r="AQ43">
        <v>0</v>
      </c>
      <c r="AR43">
        <v>1855.64</v>
      </c>
      <c r="AT43" t="s">
        <v>267</v>
      </c>
      <c r="AU43">
        <v>0</v>
      </c>
      <c r="AV43">
        <v>1855.64</v>
      </c>
      <c r="AX43" t="s">
        <v>267</v>
      </c>
      <c r="AY43">
        <v>0</v>
      </c>
      <c r="AZ43">
        <v>1855.64</v>
      </c>
      <c r="BB43" t="s">
        <v>267</v>
      </c>
      <c r="BC43">
        <v>0</v>
      </c>
      <c r="BD43">
        <v>1624.56</v>
      </c>
      <c r="BF43" t="s">
        <v>267</v>
      </c>
      <c r="BG43">
        <v>0</v>
      </c>
      <c r="BH43">
        <v>1393.48</v>
      </c>
      <c r="BJ43" t="s">
        <v>267</v>
      </c>
      <c r="BK43">
        <v>0</v>
      </c>
      <c r="BL43">
        <v>1161.44</v>
      </c>
      <c r="BN43" t="s">
        <v>267</v>
      </c>
      <c r="BO43">
        <v>0</v>
      </c>
      <c r="BP43">
        <v>927.34</v>
      </c>
      <c r="BQ43">
        <f t="shared" si="11"/>
        <v>0</v>
      </c>
      <c r="BR43" t="s">
        <v>269</v>
      </c>
      <c r="BS43">
        <v>8443.1200000000008</v>
      </c>
      <c r="BT43">
        <v>7046.01</v>
      </c>
      <c r="BV43" t="s">
        <v>269</v>
      </c>
      <c r="BW43">
        <v>8443.1200000000008</v>
      </c>
      <c r="BX43">
        <v>7046.01</v>
      </c>
      <c r="BZ43" t="s">
        <v>270</v>
      </c>
      <c r="CA43">
        <v>729.16</v>
      </c>
      <c r="CB43">
        <v>752.06</v>
      </c>
      <c r="CD43" t="s">
        <v>270</v>
      </c>
      <c r="CE43">
        <v>729.16</v>
      </c>
      <c r="CF43">
        <v>752.06</v>
      </c>
      <c r="CH43" t="s">
        <v>270</v>
      </c>
      <c r="CI43">
        <v>729.16</v>
      </c>
      <c r="CJ43">
        <v>752.06</v>
      </c>
    </row>
    <row r="44" spans="1:88" x14ac:dyDescent="0.3">
      <c r="A44" t="s">
        <v>245</v>
      </c>
      <c r="B44" t="s">
        <v>122</v>
      </c>
      <c r="C44" t="s">
        <v>276</v>
      </c>
      <c r="D44">
        <f t="shared" si="7"/>
        <v>127505.83</v>
      </c>
      <c r="E44">
        <f t="shared" si="8"/>
        <v>106967.67</v>
      </c>
      <c r="F44" s="75">
        <f t="shared" si="10"/>
        <v>0</v>
      </c>
      <c r="G44" t="s">
        <v>267</v>
      </c>
      <c r="H44">
        <v>0</v>
      </c>
      <c r="I44">
        <v>2845.05</v>
      </c>
      <c r="J44" s="75">
        <f t="shared" si="12"/>
        <v>0</v>
      </c>
      <c r="L44" t="s">
        <v>267</v>
      </c>
      <c r="M44">
        <v>0</v>
      </c>
      <c r="N44">
        <v>2845.05</v>
      </c>
      <c r="P44" t="s">
        <v>267</v>
      </c>
      <c r="Q44">
        <v>0</v>
      </c>
      <c r="R44">
        <v>2845.05</v>
      </c>
      <c r="T44" t="s">
        <v>267</v>
      </c>
      <c r="U44">
        <v>0</v>
      </c>
      <c r="V44">
        <v>2845.05</v>
      </c>
      <c r="X44" t="s">
        <v>267</v>
      </c>
      <c r="Y44">
        <v>0</v>
      </c>
      <c r="Z44">
        <v>2845.05</v>
      </c>
      <c r="AB44" t="s">
        <v>267</v>
      </c>
      <c r="AC44">
        <v>0</v>
      </c>
      <c r="AD44">
        <v>2548.88</v>
      </c>
      <c r="AG44" t="s">
        <v>267</v>
      </c>
      <c r="AH44">
        <v>0</v>
      </c>
      <c r="AI44">
        <v>2317.8000000000002</v>
      </c>
      <c r="AL44" t="s">
        <v>267</v>
      </c>
      <c r="AM44">
        <v>0</v>
      </c>
      <c r="AN44">
        <v>2086.7199999999998</v>
      </c>
      <c r="AP44" t="s">
        <v>268</v>
      </c>
      <c r="AQ44">
        <v>3973.66</v>
      </c>
      <c r="AR44">
        <v>3786.21</v>
      </c>
      <c r="AT44" t="s">
        <v>268</v>
      </c>
      <c r="AU44">
        <v>3973.66</v>
      </c>
      <c r="AV44">
        <v>3786.21</v>
      </c>
      <c r="AX44" t="s">
        <v>268</v>
      </c>
      <c r="AY44">
        <v>3973.66</v>
      </c>
      <c r="AZ44">
        <v>3786.21</v>
      </c>
      <c r="BB44" t="s">
        <v>268</v>
      </c>
      <c r="BC44">
        <v>3474.48</v>
      </c>
      <c r="BD44">
        <v>3313.81</v>
      </c>
      <c r="BF44" t="s">
        <v>268</v>
      </c>
      <c r="BG44">
        <v>2975.3</v>
      </c>
      <c r="BH44">
        <v>2841.41</v>
      </c>
      <c r="BJ44" t="s">
        <v>268</v>
      </c>
      <c r="BK44">
        <v>2476.12</v>
      </c>
      <c r="BL44">
        <v>2369.0100000000002</v>
      </c>
      <c r="BN44" t="s">
        <v>268</v>
      </c>
      <c r="BO44">
        <v>1976.46</v>
      </c>
      <c r="BP44">
        <v>1895.78</v>
      </c>
      <c r="BQ44">
        <f t="shared" si="11"/>
        <v>0</v>
      </c>
      <c r="BR44" t="s">
        <v>359</v>
      </c>
      <c r="BS44">
        <v>9913.8799999999992</v>
      </c>
      <c r="BT44">
        <v>9156.4500000000007</v>
      </c>
      <c r="BV44" t="s">
        <v>359</v>
      </c>
      <c r="BW44">
        <v>9913.8799999999992</v>
      </c>
      <c r="BX44">
        <v>9156.4500000000007</v>
      </c>
      <c r="BZ44" t="s">
        <v>271</v>
      </c>
      <c r="CA44">
        <v>3314.52</v>
      </c>
      <c r="CB44">
        <v>2449.25</v>
      </c>
      <c r="CD44" t="s">
        <v>271</v>
      </c>
      <c r="CE44">
        <v>3314.52</v>
      </c>
      <c r="CF44">
        <v>2449.25</v>
      </c>
      <c r="CH44" t="s">
        <v>271</v>
      </c>
      <c r="CI44">
        <v>3314.52</v>
      </c>
      <c r="CJ44">
        <v>2449.25</v>
      </c>
    </row>
    <row r="45" spans="1:88" x14ac:dyDescent="0.3">
      <c r="A45" t="s">
        <v>245</v>
      </c>
      <c r="B45" t="s">
        <v>130</v>
      </c>
      <c r="C45" t="s">
        <v>130</v>
      </c>
      <c r="D45">
        <f t="shared" si="7"/>
        <v>49841.56</v>
      </c>
      <c r="E45">
        <f t="shared" si="8"/>
        <v>43892.79</v>
      </c>
      <c r="F45" s="75">
        <f t="shared" si="10"/>
        <v>0</v>
      </c>
      <c r="G45" t="s">
        <v>268</v>
      </c>
      <c r="H45">
        <v>6082.66</v>
      </c>
      <c r="I45">
        <v>5801.5</v>
      </c>
      <c r="J45" s="75">
        <f t="shared" si="12"/>
        <v>0</v>
      </c>
      <c r="L45" t="s">
        <v>268</v>
      </c>
      <c r="M45">
        <v>6082.66</v>
      </c>
      <c r="N45">
        <v>5801.5</v>
      </c>
      <c r="P45" t="s">
        <v>268</v>
      </c>
      <c r="Q45">
        <v>6082.66</v>
      </c>
      <c r="R45">
        <v>5801.5</v>
      </c>
      <c r="T45" t="s">
        <v>268</v>
      </c>
      <c r="U45">
        <v>6082.66</v>
      </c>
      <c r="V45">
        <v>5801.5</v>
      </c>
      <c r="X45" t="s">
        <v>268</v>
      </c>
      <c r="Y45">
        <v>5970.38</v>
      </c>
      <c r="Z45">
        <v>5801.5</v>
      </c>
      <c r="AB45" t="s">
        <v>268</v>
      </c>
      <c r="AC45">
        <v>5471.2</v>
      </c>
      <c r="AD45">
        <v>5279.92</v>
      </c>
      <c r="AG45" t="s">
        <v>268</v>
      </c>
      <c r="AH45">
        <v>4972.0200000000004</v>
      </c>
      <c r="AI45">
        <v>4807.5200000000004</v>
      </c>
      <c r="AL45" t="s">
        <v>268</v>
      </c>
      <c r="AM45">
        <v>4472.84</v>
      </c>
      <c r="AN45">
        <v>4258.6099999999997</v>
      </c>
      <c r="AP45" t="s">
        <v>520</v>
      </c>
      <c r="AQ45">
        <v>1811.2</v>
      </c>
      <c r="AR45">
        <v>0</v>
      </c>
      <c r="AT45" t="s">
        <v>520</v>
      </c>
      <c r="AU45">
        <v>1811.2</v>
      </c>
      <c r="AV45">
        <v>0</v>
      </c>
      <c r="AX45" t="s">
        <v>520</v>
      </c>
      <c r="AY45">
        <v>1811.2</v>
      </c>
      <c r="AZ45">
        <v>0</v>
      </c>
      <c r="BB45" t="s">
        <v>520</v>
      </c>
      <c r="BC45">
        <v>1450.36</v>
      </c>
      <c r="BD45">
        <v>0</v>
      </c>
      <c r="BF45" t="s">
        <v>520</v>
      </c>
      <c r="BG45">
        <v>1089.52</v>
      </c>
      <c r="BH45">
        <v>0</v>
      </c>
      <c r="BJ45" t="s">
        <v>520</v>
      </c>
      <c r="BK45">
        <v>728.68</v>
      </c>
      <c r="BL45">
        <v>0</v>
      </c>
      <c r="BN45" t="s">
        <v>520</v>
      </c>
      <c r="BO45">
        <v>365.56</v>
      </c>
      <c r="BP45">
        <v>0</v>
      </c>
      <c r="BQ45">
        <f t="shared" si="11"/>
        <v>0</v>
      </c>
      <c r="BR45" t="s">
        <v>360</v>
      </c>
      <c r="BV45" t="s">
        <v>360</v>
      </c>
      <c r="BZ45" t="s">
        <v>361</v>
      </c>
      <c r="CA45">
        <v>4043.68</v>
      </c>
      <c r="CB45">
        <v>3201.31</v>
      </c>
      <c r="CD45" t="s">
        <v>361</v>
      </c>
      <c r="CE45">
        <v>4043.68</v>
      </c>
      <c r="CF45">
        <v>3201.31</v>
      </c>
      <c r="CH45" t="s">
        <v>361</v>
      </c>
      <c r="CI45">
        <v>4043.68</v>
      </c>
      <c r="CJ45">
        <v>3201.31</v>
      </c>
    </row>
    <row r="46" spans="1:88" x14ac:dyDescent="0.3">
      <c r="A46" t="s">
        <v>245</v>
      </c>
      <c r="B46" t="s">
        <v>581</v>
      </c>
      <c r="C46" t="s">
        <v>277</v>
      </c>
      <c r="D46">
        <f t="shared" si="7"/>
        <v>290386.26</v>
      </c>
      <c r="E46">
        <f t="shared" si="8"/>
        <v>317386.90999999997</v>
      </c>
      <c r="F46" s="75">
        <f t="shared" si="10"/>
        <v>0</v>
      </c>
      <c r="G46" t="s">
        <v>520</v>
      </c>
      <c r="H46">
        <v>3254.56</v>
      </c>
      <c r="I46">
        <v>0</v>
      </c>
      <c r="J46" s="75">
        <f t="shared" si="12"/>
        <v>0</v>
      </c>
      <c r="L46" t="s">
        <v>520</v>
      </c>
      <c r="M46">
        <v>3254.56</v>
      </c>
      <c r="N46">
        <v>0</v>
      </c>
      <c r="P46" t="s">
        <v>520</v>
      </c>
      <c r="Q46">
        <v>3254.56</v>
      </c>
      <c r="R46">
        <v>0</v>
      </c>
      <c r="T46" t="s">
        <v>520</v>
      </c>
      <c r="U46">
        <v>3254.56</v>
      </c>
      <c r="V46">
        <v>0</v>
      </c>
      <c r="X46" t="s">
        <v>520</v>
      </c>
      <c r="Y46">
        <v>3254.56</v>
      </c>
      <c r="Z46">
        <v>0</v>
      </c>
      <c r="AB46" t="s">
        <v>520</v>
      </c>
      <c r="AC46">
        <v>2893.72</v>
      </c>
      <c r="AD46">
        <v>0</v>
      </c>
      <c r="AG46" t="s">
        <v>520</v>
      </c>
      <c r="AH46">
        <v>2532.88</v>
      </c>
      <c r="AI46">
        <v>0</v>
      </c>
      <c r="AL46" t="s">
        <v>520</v>
      </c>
      <c r="AM46">
        <v>2172.04</v>
      </c>
      <c r="AN46">
        <v>0</v>
      </c>
      <c r="AP46" t="s">
        <v>269</v>
      </c>
      <c r="AQ46">
        <v>23716.44</v>
      </c>
      <c r="AR46">
        <v>18824.34</v>
      </c>
      <c r="AT46" t="s">
        <v>269</v>
      </c>
      <c r="AU46">
        <v>23716.44</v>
      </c>
      <c r="AV46">
        <v>18824.34</v>
      </c>
      <c r="AX46" t="s">
        <v>269</v>
      </c>
      <c r="AY46">
        <v>23716.44</v>
      </c>
      <c r="AZ46">
        <v>18824.34</v>
      </c>
      <c r="BB46" t="s">
        <v>269</v>
      </c>
      <c r="BC46">
        <v>20627.79</v>
      </c>
      <c r="BD46">
        <v>16475.669999999998</v>
      </c>
      <c r="BF46" t="s">
        <v>269</v>
      </c>
      <c r="BG46">
        <v>17934.939999999999</v>
      </c>
      <c r="BH46">
        <v>14127</v>
      </c>
      <c r="BJ46" t="s">
        <v>269</v>
      </c>
      <c r="BK46">
        <v>15207.2</v>
      </c>
      <c r="BL46">
        <v>11778.33</v>
      </c>
      <c r="BN46" t="s">
        <v>269</v>
      </c>
      <c r="BO46">
        <v>11013.55</v>
      </c>
      <c r="BP46">
        <v>9422.74</v>
      </c>
      <c r="BQ46">
        <f t="shared" si="11"/>
        <v>0</v>
      </c>
      <c r="BR46" t="s">
        <v>270</v>
      </c>
      <c r="BS46">
        <v>2187.48</v>
      </c>
      <c r="BT46">
        <v>2588.6799999999998</v>
      </c>
      <c r="BV46" t="s">
        <v>270</v>
      </c>
      <c r="BW46">
        <v>2187.48</v>
      </c>
      <c r="BX46">
        <v>2588.6799999999998</v>
      </c>
      <c r="BZ46" t="s">
        <v>272</v>
      </c>
      <c r="CA46">
        <v>558.25</v>
      </c>
      <c r="CB46">
        <v>508.5</v>
      </c>
      <c r="CD46" t="s">
        <v>272</v>
      </c>
      <c r="CE46">
        <v>558.25</v>
      </c>
      <c r="CF46">
        <v>508.5</v>
      </c>
      <c r="CH46" t="s">
        <v>272</v>
      </c>
      <c r="CI46">
        <v>558.25</v>
      </c>
      <c r="CJ46">
        <v>508.5</v>
      </c>
    </row>
    <row r="47" spans="1:88" x14ac:dyDescent="0.3">
      <c r="A47" t="s">
        <v>245</v>
      </c>
      <c r="B47" t="s">
        <v>131</v>
      </c>
      <c r="C47" t="s">
        <v>131</v>
      </c>
      <c r="D47">
        <f t="shared" si="7"/>
        <v>49500</v>
      </c>
      <c r="E47">
        <f t="shared" si="8"/>
        <v>47500</v>
      </c>
      <c r="F47" s="75">
        <f t="shared" si="10"/>
        <v>0</v>
      </c>
      <c r="G47" t="s">
        <v>269</v>
      </c>
      <c r="H47">
        <v>35466.51</v>
      </c>
      <c r="I47">
        <v>29188.43</v>
      </c>
      <c r="J47" s="75">
        <f t="shared" si="12"/>
        <v>0</v>
      </c>
      <c r="L47" t="s">
        <v>269</v>
      </c>
      <c r="M47">
        <v>35466.51</v>
      </c>
      <c r="N47">
        <v>29188.43</v>
      </c>
      <c r="P47" t="s">
        <v>269</v>
      </c>
      <c r="Q47">
        <v>35466.51</v>
      </c>
      <c r="R47">
        <v>29188.43</v>
      </c>
      <c r="T47" t="s">
        <v>269</v>
      </c>
      <c r="U47">
        <v>35466.51</v>
      </c>
      <c r="V47">
        <v>29188.43</v>
      </c>
      <c r="X47" t="s">
        <v>269</v>
      </c>
      <c r="Y47">
        <v>35237.760000000002</v>
      </c>
      <c r="Z47">
        <v>29188.43</v>
      </c>
      <c r="AB47" t="s">
        <v>269</v>
      </c>
      <c r="AC47">
        <v>32406.26</v>
      </c>
      <c r="AD47">
        <v>26735.43</v>
      </c>
      <c r="AG47" t="s">
        <v>269</v>
      </c>
      <c r="AH47">
        <v>29509.67</v>
      </c>
      <c r="AI47">
        <v>24282.43</v>
      </c>
      <c r="AL47" t="s">
        <v>269</v>
      </c>
      <c r="AM47">
        <v>26613.08</v>
      </c>
      <c r="AN47">
        <v>21614.799999999999</v>
      </c>
      <c r="AP47" t="s">
        <v>359</v>
      </c>
      <c r="AQ47">
        <v>29501.3</v>
      </c>
      <c r="AR47">
        <v>24466.19</v>
      </c>
      <c r="AT47" t="s">
        <v>359</v>
      </c>
      <c r="AU47">
        <v>29501.3</v>
      </c>
      <c r="AV47">
        <v>24466.19</v>
      </c>
      <c r="AX47" t="s">
        <v>359</v>
      </c>
      <c r="AY47">
        <v>29501.3</v>
      </c>
      <c r="AZ47">
        <v>24466.19</v>
      </c>
      <c r="BB47" t="s">
        <v>359</v>
      </c>
      <c r="BC47">
        <v>25552.63</v>
      </c>
      <c r="BD47">
        <v>21414.04</v>
      </c>
      <c r="BF47" t="s">
        <v>359</v>
      </c>
      <c r="BG47">
        <v>21999.759999999998</v>
      </c>
      <c r="BH47">
        <v>18361.89</v>
      </c>
      <c r="BJ47" t="s">
        <v>359</v>
      </c>
      <c r="BK47">
        <v>18412</v>
      </c>
      <c r="BL47">
        <v>15308.78</v>
      </c>
      <c r="BN47" t="s">
        <v>359</v>
      </c>
      <c r="BO47">
        <v>13355.57</v>
      </c>
      <c r="BP47">
        <v>12245.86</v>
      </c>
      <c r="BQ47">
        <f t="shared" si="11"/>
        <v>0</v>
      </c>
      <c r="BR47" t="s">
        <v>271</v>
      </c>
      <c r="BS47">
        <v>9943.56</v>
      </c>
      <c r="BT47">
        <v>11398.94</v>
      </c>
      <c r="BV47" t="s">
        <v>271</v>
      </c>
      <c r="BW47">
        <v>9943.56</v>
      </c>
      <c r="BX47">
        <v>11398.94</v>
      </c>
      <c r="BZ47" t="s">
        <v>362</v>
      </c>
      <c r="CD47" t="s">
        <v>362</v>
      </c>
      <c r="CH47" t="s">
        <v>362</v>
      </c>
    </row>
    <row r="48" spans="1:88" x14ac:dyDescent="0.3">
      <c r="A48" t="s">
        <v>245</v>
      </c>
      <c r="B48" t="s">
        <v>117</v>
      </c>
      <c r="C48" t="s">
        <v>278</v>
      </c>
      <c r="D48">
        <f t="shared" si="7"/>
        <v>50321</v>
      </c>
      <c r="E48">
        <f t="shared" si="8"/>
        <v>46344.75</v>
      </c>
      <c r="F48" s="75">
        <f t="shared" si="10"/>
        <v>-44803.73</v>
      </c>
      <c r="G48" t="s">
        <v>359</v>
      </c>
      <c r="H48">
        <v>44803.73</v>
      </c>
      <c r="I48">
        <v>37834.980000000003</v>
      </c>
      <c r="J48" s="75">
        <f>SUMIFS(E:E,C:C,G48)-I48</f>
        <v>-37834.980000000003</v>
      </c>
      <c r="L48" t="s">
        <v>359</v>
      </c>
      <c r="M48">
        <v>44803.73</v>
      </c>
      <c r="N48">
        <v>37834.980000000003</v>
      </c>
      <c r="P48" t="s">
        <v>359</v>
      </c>
      <c r="Q48">
        <v>44803.73</v>
      </c>
      <c r="R48">
        <v>37834.980000000003</v>
      </c>
      <c r="T48" t="s">
        <v>359</v>
      </c>
      <c r="U48">
        <v>44803.73</v>
      </c>
      <c r="V48">
        <v>37834.980000000003</v>
      </c>
      <c r="X48" t="s">
        <v>359</v>
      </c>
      <c r="Y48">
        <v>44462.7</v>
      </c>
      <c r="Z48">
        <v>37834.980000000003</v>
      </c>
      <c r="AB48" t="s">
        <v>359</v>
      </c>
      <c r="AC48">
        <v>40771.18</v>
      </c>
      <c r="AD48">
        <v>34564.230000000003</v>
      </c>
      <c r="AG48" t="s">
        <v>359</v>
      </c>
      <c r="AH48">
        <v>37014.57</v>
      </c>
      <c r="AI48">
        <v>31407.75</v>
      </c>
      <c r="AL48" t="s">
        <v>359</v>
      </c>
      <c r="AM48">
        <v>33257.96</v>
      </c>
      <c r="AN48">
        <v>27960.13</v>
      </c>
      <c r="AP48" t="s">
        <v>360</v>
      </c>
      <c r="AT48" t="s">
        <v>360</v>
      </c>
      <c r="AX48" t="s">
        <v>360</v>
      </c>
      <c r="BB48" t="s">
        <v>360</v>
      </c>
      <c r="BF48" t="s">
        <v>360</v>
      </c>
      <c r="BJ48" t="s">
        <v>360</v>
      </c>
      <c r="BN48" t="s">
        <v>360</v>
      </c>
      <c r="BQ48">
        <f t="shared" si="11"/>
        <v>-37834.980000000003</v>
      </c>
      <c r="BR48" t="s">
        <v>361</v>
      </c>
      <c r="BS48">
        <v>12131.04</v>
      </c>
      <c r="BT48">
        <v>13987.62</v>
      </c>
      <c r="BV48" t="s">
        <v>361</v>
      </c>
      <c r="BW48">
        <v>12131.04</v>
      </c>
      <c r="BX48">
        <v>13987.62</v>
      </c>
      <c r="BZ48" t="s">
        <v>273</v>
      </c>
      <c r="CA48">
        <v>428.75</v>
      </c>
      <c r="CB48">
        <v>428.75</v>
      </c>
      <c r="CD48" t="s">
        <v>273</v>
      </c>
      <c r="CE48">
        <v>428.75</v>
      </c>
      <c r="CF48">
        <v>428.75</v>
      </c>
      <c r="CH48" t="s">
        <v>273</v>
      </c>
      <c r="CI48">
        <v>428.75</v>
      </c>
      <c r="CJ48">
        <v>428.75</v>
      </c>
    </row>
    <row r="49" spans="1:88" x14ac:dyDescent="0.3">
      <c r="A49" t="s">
        <v>245</v>
      </c>
      <c r="B49" t="s">
        <v>128</v>
      </c>
      <c r="C49" t="s">
        <v>279</v>
      </c>
      <c r="D49">
        <f t="shared" si="7"/>
        <v>16863.25</v>
      </c>
      <c r="E49">
        <f t="shared" si="8"/>
        <v>45983.89</v>
      </c>
      <c r="F49" s="75">
        <f t="shared" si="10"/>
        <v>0</v>
      </c>
      <c r="G49" t="s">
        <v>360</v>
      </c>
      <c r="J49" s="75">
        <f t="shared" ref="J49:J53" si="13">SUMIFS(E:E,C:C,G49)-I49</f>
        <v>0</v>
      </c>
      <c r="L49" t="s">
        <v>360</v>
      </c>
      <c r="P49" t="s">
        <v>360</v>
      </c>
      <c r="T49" t="s">
        <v>360</v>
      </c>
      <c r="X49" t="s">
        <v>360</v>
      </c>
      <c r="AB49" t="s">
        <v>360</v>
      </c>
      <c r="AC49"/>
      <c r="AD49"/>
      <c r="AG49" t="s">
        <v>360</v>
      </c>
      <c r="AL49" t="s">
        <v>360</v>
      </c>
      <c r="AP49" t="s">
        <v>270</v>
      </c>
      <c r="AQ49">
        <v>5833.28</v>
      </c>
      <c r="AR49">
        <v>6016.48</v>
      </c>
      <c r="AT49" t="s">
        <v>270</v>
      </c>
      <c r="AU49">
        <v>5833.28</v>
      </c>
      <c r="AV49">
        <v>6016.48</v>
      </c>
      <c r="AX49" t="s">
        <v>270</v>
      </c>
      <c r="AY49">
        <v>5833.28</v>
      </c>
      <c r="AZ49">
        <v>6016.48</v>
      </c>
      <c r="BB49" t="s">
        <v>270</v>
      </c>
      <c r="BC49">
        <v>5104.12</v>
      </c>
      <c r="BD49">
        <v>5264.42</v>
      </c>
      <c r="BF49" t="s">
        <v>270</v>
      </c>
      <c r="BG49">
        <v>4374.96</v>
      </c>
      <c r="BH49">
        <v>4844.8599999999997</v>
      </c>
      <c r="BJ49" t="s">
        <v>270</v>
      </c>
      <c r="BK49">
        <v>3645.8</v>
      </c>
      <c r="BL49">
        <v>4092.8</v>
      </c>
      <c r="BN49" t="s">
        <v>270</v>
      </c>
      <c r="BO49">
        <v>2916.64</v>
      </c>
      <c r="BP49">
        <v>3340.74</v>
      </c>
      <c r="BQ49">
        <f t="shared" si="11"/>
        <v>0</v>
      </c>
      <c r="BR49" t="s">
        <v>272</v>
      </c>
      <c r="BS49">
        <v>1116.5</v>
      </c>
      <c r="BT49">
        <v>508.5</v>
      </c>
      <c r="BV49" t="s">
        <v>272</v>
      </c>
      <c r="BW49">
        <v>1116.5</v>
      </c>
      <c r="BX49">
        <v>508.5</v>
      </c>
      <c r="BZ49" t="s">
        <v>274</v>
      </c>
      <c r="CA49">
        <v>2122.2199999999998</v>
      </c>
      <c r="CB49">
        <v>1717.58</v>
      </c>
      <c r="CD49" t="s">
        <v>274</v>
      </c>
      <c r="CE49">
        <v>2122.2199999999998</v>
      </c>
      <c r="CF49">
        <v>1717.58</v>
      </c>
      <c r="CH49" t="s">
        <v>274</v>
      </c>
      <c r="CI49">
        <v>2122.2199999999998</v>
      </c>
      <c r="CJ49">
        <v>1717.58</v>
      </c>
    </row>
    <row r="50" spans="1:88" x14ac:dyDescent="0.3">
      <c r="A50" t="s">
        <v>245</v>
      </c>
      <c r="B50" t="s">
        <v>118</v>
      </c>
      <c r="C50" t="s">
        <v>118</v>
      </c>
      <c r="D50">
        <f t="shared" si="7"/>
        <v>14123.68</v>
      </c>
      <c r="E50">
        <f t="shared" si="8"/>
        <v>6781.94</v>
      </c>
      <c r="F50" s="75">
        <f t="shared" si="10"/>
        <v>0</v>
      </c>
      <c r="G50" t="s">
        <v>270</v>
      </c>
      <c r="H50">
        <v>8749.92</v>
      </c>
      <c r="I50">
        <v>9001.23</v>
      </c>
      <c r="J50" s="75">
        <f t="shared" si="13"/>
        <v>0</v>
      </c>
      <c r="L50" t="s">
        <v>270</v>
      </c>
      <c r="M50">
        <v>8749.92</v>
      </c>
      <c r="N50">
        <v>9001.23</v>
      </c>
      <c r="P50" t="s">
        <v>270</v>
      </c>
      <c r="Q50">
        <v>8749.92</v>
      </c>
      <c r="R50">
        <v>9001.23</v>
      </c>
      <c r="T50" t="s">
        <v>270</v>
      </c>
      <c r="U50">
        <v>8749.92</v>
      </c>
      <c r="V50">
        <v>9001.23</v>
      </c>
      <c r="X50" t="s">
        <v>270</v>
      </c>
      <c r="Y50">
        <v>8749.92</v>
      </c>
      <c r="Z50">
        <v>9001.23</v>
      </c>
      <c r="AB50" t="s">
        <v>270</v>
      </c>
      <c r="AC50">
        <v>8020.76</v>
      </c>
      <c r="AD50">
        <v>8272.66</v>
      </c>
      <c r="AG50" t="s">
        <v>270</v>
      </c>
      <c r="AH50">
        <v>7291.6</v>
      </c>
      <c r="AI50">
        <v>7520.6</v>
      </c>
      <c r="AL50" t="s">
        <v>270</v>
      </c>
      <c r="AM50">
        <v>6562.44</v>
      </c>
      <c r="AN50">
        <v>6768.54</v>
      </c>
      <c r="AP50" t="s">
        <v>271</v>
      </c>
      <c r="AQ50">
        <v>24048.79</v>
      </c>
      <c r="AR50">
        <v>25862.78</v>
      </c>
      <c r="AT50" t="s">
        <v>271</v>
      </c>
      <c r="AU50">
        <v>24048.79</v>
      </c>
      <c r="AV50">
        <v>25862.78</v>
      </c>
      <c r="AX50" t="s">
        <v>271</v>
      </c>
      <c r="AY50">
        <v>24048.79</v>
      </c>
      <c r="AZ50">
        <v>25862.78</v>
      </c>
      <c r="BB50" t="s">
        <v>271</v>
      </c>
      <c r="BC50">
        <v>21335.9</v>
      </c>
      <c r="BD50">
        <v>22580.34</v>
      </c>
      <c r="BF50" t="s">
        <v>271</v>
      </c>
      <c r="BG50">
        <v>18623.009999999998</v>
      </c>
      <c r="BH50">
        <v>23176.560000000001</v>
      </c>
      <c r="BJ50" t="s">
        <v>271</v>
      </c>
      <c r="BK50">
        <v>15910.12</v>
      </c>
      <c r="BL50">
        <v>19142.68</v>
      </c>
      <c r="BN50" t="s">
        <v>271</v>
      </c>
      <c r="BO50">
        <v>13156.73</v>
      </c>
      <c r="BP50">
        <v>14555.02</v>
      </c>
      <c r="BQ50">
        <f t="shared" si="11"/>
        <v>0</v>
      </c>
      <c r="BR50" t="s">
        <v>362</v>
      </c>
      <c r="BV50" t="s">
        <v>362</v>
      </c>
      <c r="BZ50" t="s">
        <v>363</v>
      </c>
      <c r="CA50">
        <v>2550.9699999999998</v>
      </c>
      <c r="CB50">
        <v>2146.33</v>
      </c>
      <c r="CD50" t="s">
        <v>363</v>
      </c>
      <c r="CE50">
        <v>2550.9699999999998</v>
      </c>
      <c r="CF50">
        <v>2146.33</v>
      </c>
      <c r="CH50" t="s">
        <v>363</v>
      </c>
      <c r="CI50">
        <v>2550.9699999999998</v>
      </c>
      <c r="CJ50">
        <v>2146.33</v>
      </c>
    </row>
    <row r="51" spans="1:88" x14ac:dyDescent="0.3">
      <c r="A51" t="s">
        <v>245</v>
      </c>
      <c r="B51" t="s">
        <v>123</v>
      </c>
      <c r="C51" t="s">
        <v>123</v>
      </c>
      <c r="D51">
        <f t="shared" si="7"/>
        <v>3473.83</v>
      </c>
      <c r="E51">
        <f t="shared" si="8"/>
        <v>6569.75</v>
      </c>
      <c r="F51" s="75">
        <f t="shared" si="10"/>
        <v>0</v>
      </c>
      <c r="G51" t="s">
        <v>271</v>
      </c>
      <c r="H51">
        <v>35948.400000000001</v>
      </c>
      <c r="I51">
        <v>38992.54</v>
      </c>
      <c r="J51" s="75">
        <f t="shared" si="13"/>
        <v>0</v>
      </c>
      <c r="L51" t="s">
        <v>271</v>
      </c>
      <c r="M51">
        <v>35948.400000000001</v>
      </c>
      <c r="N51">
        <v>38992.54</v>
      </c>
      <c r="P51" t="s">
        <v>271</v>
      </c>
      <c r="Q51">
        <v>35948.400000000001</v>
      </c>
      <c r="R51">
        <v>38992.54</v>
      </c>
      <c r="T51" t="s">
        <v>271</v>
      </c>
      <c r="U51">
        <v>35948.400000000001</v>
      </c>
      <c r="V51">
        <v>38992.54</v>
      </c>
      <c r="X51" t="s">
        <v>271</v>
      </c>
      <c r="Y51">
        <v>35948.400000000001</v>
      </c>
      <c r="Z51">
        <v>38992.54</v>
      </c>
      <c r="AB51" t="s">
        <v>271</v>
      </c>
      <c r="AC51">
        <v>32506.35</v>
      </c>
      <c r="AD51">
        <v>35710.1</v>
      </c>
      <c r="AG51" t="s">
        <v>271</v>
      </c>
      <c r="AH51">
        <v>29474.57</v>
      </c>
      <c r="AI51">
        <v>32307.63</v>
      </c>
      <c r="AL51" t="s">
        <v>271</v>
      </c>
      <c r="AM51">
        <v>26761.68</v>
      </c>
      <c r="AN51">
        <v>29145.22</v>
      </c>
      <c r="AP51" t="s">
        <v>361</v>
      </c>
      <c r="AQ51">
        <v>29882.07</v>
      </c>
      <c r="AR51">
        <v>31879.26</v>
      </c>
      <c r="AT51" t="s">
        <v>361</v>
      </c>
      <c r="AU51">
        <v>29882.07</v>
      </c>
      <c r="AV51">
        <v>31879.26</v>
      </c>
      <c r="AX51" t="s">
        <v>361</v>
      </c>
      <c r="AY51">
        <v>29882.07</v>
      </c>
      <c r="AZ51">
        <v>31879.26</v>
      </c>
      <c r="BB51" t="s">
        <v>361</v>
      </c>
      <c r="BC51">
        <v>26440.02</v>
      </c>
      <c r="BD51">
        <v>27844.76</v>
      </c>
      <c r="BF51" t="s">
        <v>361</v>
      </c>
      <c r="BG51">
        <v>22997.97</v>
      </c>
      <c r="BH51">
        <v>28021.42</v>
      </c>
      <c r="BJ51" t="s">
        <v>361</v>
      </c>
      <c r="BK51">
        <v>19555.919999999998</v>
      </c>
      <c r="BL51">
        <v>23235.48</v>
      </c>
      <c r="BN51" t="s">
        <v>361</v>
      </c>
      <c r="BO51">
        <v>16073.37</v>
      </c>
      <c r="BP51">
        <v>17895.759999999998</v>
      </c>
      <c r="BQ51">
        <f t="shared" si="11"/>
        <v>0</v>
      </c>
      <c r="BR51" t="s">
        <v>273</v>
      </c>
      <c r="BS51">
        <v>1335.25</v>
      </c>
      <c r="BT51">
        <v>953.75</v>
      </c>
      <c r="BV51" t="s">
        <v>273</v>
      </c>
      <c r="BW51">
        <v>1335.25</v>
      </c>
      <c r="BX51">
        <v>953.75</v>
      </c>
      <c r="BZ51" t="s">
        <v>364</v>
      </c>
      <c r="CA51">
        <v>52236.58</v>
      </c>
      <c r="CB51">
        <v>48555.6</v>
      </c>
      <c r="CD51" t="s">
        <v>364</v>
      </c>
      <c r="CE51">
        <v>51320.639999999999</v>
      </c>
      <c r="CF51">
        <v>48555.6</v>
      </c>
      <c r="CH51" t="s">
        <v>364</v>
      </c>
      <c r="CI51">
        <v>51320.639999999999</v>
      </c>
      <c r="CJ51">
        <v>48555.6</v>
      </c>
    </row>
    <row r="52" spans="1:88" x14ac:dyDescent="0.3">
      <c r="A52" t="s">
        <v>245</v>
      </c>
      <c r="B52" t="s">
        <v>115</v>
      </c>
      <c r="C52" t="s">
        <v>280</v>
      </c>
      <c r="D52">
        <f t="shared" si="7"/>
        <v>18786.32</v>
      </c>
      <c r="E52">
        <f t="shared" si="8"/>
        <v>41424.22</v>
      </c>
      <c r="F52" s="75">
        <f t="shared" si="10"/>
        <v>-44698.32</v>
      </c>
      <c r="G52" t="s">
        <v>361</v>
      </c>
      <c r="H52">
        <v>44698.32</v>
      </c>
      <c r="I52">
        <v>47993.77</v>
      </c>
      <c r="J52" s="75">
        <f t="shared" si="13"/>
        <v>-47993.77</v>
      </c>
      <c r="L52" t="s">
        <v>361</v>
      </c>
      <c r="M52">
        <v>44698.32</v>
      </c>
      <c r="N52">
        <v>47993.77</v>
      </c>
      <c r="P52" t="s">
        <v>361</v>
      </c>
      <c r="Q52">
        <v>44698.32</v>
      </c>
      <c r="R52">
        <v>47993.77</v>
      </c>
      <c r="T52" t="s">
        <v>361</v>
      </c>
      <c r="U52">
        <v>44698.32</v>
      </c>
      <c r="V52">
        <v>47993.77</v>
      </c>
      <c r="X52" t="s">
        <v>361</v>
      </c>
      <c r="Y52">
        <v>44698.32</v>
      </c>
      <c r="Z52">
        <v>47993.77</v>
      </c>
      <c r="AB52" t="s">
        <v>361</v>
      </c>
      <c r="AC52">
        <v>40527.11</v>
      </c>
      <c r="AD52">
        <v>43982.76</v>
      </c>
      <c r="AG52" t="s">
        <v>361</v>
      </c>
      <c r="AH52">
        <v>36766.17</v>
      </c>
      <c r="AI52">
        <v>39828.230000000003</v>
      </c>
      <c r="AL52" t="s">
        <v>361</v>
      </c>
      <c r="AM52">
        <v>33324.120000000003</v>
      </c>
      <c r="AN52">
        <v>35913.760000000002</v>
      </c>
      <c r="AP52" t="s">
        <v>272</v>
      </c>
      <c r="AQ52">
        <v>1674.75</v>
      </c>
      <c r="AR52">
        <v>1525.5</v>
      </c>
      <c r="AT52" t="s">
        <v>272</v>
      </c>
      <c r="AU52">
        <v>1674.75</v>
      </c>
      <c r="AV52">
        <v>1525.5</v>
      </c>
      <c r="AX52" t="s">
        <v>272</v>
      </c>
      <c r="AY52">
        <v>1674.75</v>
      </c>
      <c r="AZ52">
        <v>1525.5</v>
      </c>
      <c r="BB52" t="s">
        <v>272</v>
      </c>
      <c r="BC52">
        <v>1674.75</v>
      </c>
      <c r="BD52">
        <v>1525.5</v>
      </c>
      <c r="BF52" t="s">
        <v>272</v>
      </c>
      <c r="BG52">
        <v>1674.75</v>
      </c>
      <c r="BH52">
        <v>1525.5</v>
      </c>
      <c r="BJ52" t="s">
        <v>272</v>
      </c>
      <c r="BK52">
        <v>1116.5</v>
      </c>
      <c r="BL52">
        <v>508.5</v>
      </c>
      <c r="BN52" t="s">
        <v>272</v>
      </c>
      <c r="BO52">
        <v>1116.5</v>
      </c>
      <c r="BP52">
        <v>508.5</v>
      </c>
      <c r="BQ52">
        <f t="shared" si="11"/>
        <v>-47993.77</v>
      </c>
      <c r="BR52" t="s">
        <v>274</v>
      </c>
      <c r="BS52">
        <v>6063.85</v>
      </c>
      <c r="BT52">
        <v>3395.74</v>
      </c>
      <c r="BV52" t="s">
        <v>274</v>
      </c>
      <c r="BW52">
        <v>6063.85</v>
      </c>
      <c r="BX52">
        <v>3395.74</v>
      </c>
      <c r="BZ52" t="s">
        <v>365</v>
      </c>
      <c r="CA52">
        <v>64932.39</v>
      </c>
      <c r="CB52">
        <v>56120.93</v>
      </c>
      <c r="CD52" t="s">
        <v>365</v>
      </c>
      <c r="CE52">
        <v>64016.45</v>
      </c>
      <c r="CF52">
        <v>56120.93</v>
      </c>
      <c r="CH52" t="s">
        <v>365</v>
      </c>
      <c r="CI52">
        <v>64016.45</v>
      </c>
      <c r="CJ52">
        <v>56120.93</v>
      </c>
    </row>
    <row r="53" spans="1:88" x14ac:dyDescent="0.3">
      <c r="A53" t="s">
        <v>245</v>
      </c>
      <c r="B53" t="s">
        <v>232</v>
      </c>
      <c r="C53" t="s">
        <v>281</v>
      </c>
      <c r="D53">
        <f t="shared" si="7"/>
        <v>44693.37</v>
      </c>
      <c r="E53">
        <f t="shared" si="8"/>
        <v>21000</v>
      </c>
      <c r="F53" s="75">
        <f t="shared" si="10"/>
        <v>0</v>
      </c>
      <c r="G53" t="s">
        <v>272</v>
      </c>
      <c r="H53">
        <v>2233</v>
      </c>
      <c r="I53">
        <v>2034</v>
      </c>
      <c r="J53" s="75">
        <f t="shared" si="13"/>
        <v>0</v>
      </c>
      <c r="L53" t="s">
        <v>272</v>
      </c>
      <c r="M53">
        <v>2233</v>
      </c>
      <c r="N53">
        <v>2034</v>
      </c>
      <c r="P53" t="s">
        <v>272</v>
      </c>
      <c r="Q53">
        <v>2233</v>
      </c>
      <c r="R53">
        <v>2034</v>
      </c>
      <c r="T53" t="s">
        <v>272</v>
      </c>
      <c r="U53">
        <v>2233</v>
      </c>
      <c r="V53">
        <v>2034</v>
      </c>
      <c r="X53" t="s">
        <v>272</v>
      </c>
      <c r="Y53">
        <v>2233</v>
      </c>
      <c r="Z53">
        <v>2034</v>
      </c>
      <c r="AB53" t="s">
        <v>272</v>
      </c>
      <c r="AC53">
        <v>2233</v>
      </c>
      <c r="AD53">
        <v>2034</v>
      </c>
      <c r="AG53" t="s">
        <v>272</v>
      </c>
      <c r="AH53">
        <v>2233</v>
      </c>
      <c r="AI53">
        <v>2034</v>
      </c>
      <c r="AL53" t="s">
        <v>272</v>
      </c>
      <c r="AM53">
        <v>2233</v>
      </c>
      <c r="AN53">
        <v>2034</v>
      </c>
      <c r="AP53" t="s">
        <v>362</v>
      </c>
      <c r="AT53" t="s">
        <v>362</v>
      </c>
      <c r="AX53" t="s">
        <v>362</v>
      </c>
      <c r="BB53" t="s">
        <v>362</v>
      </c>
      <c r="BF53" t="s">
        <v>362</v>
      </c>
      <c r="BJ53" t="s">
        <v>362</v>
      </c>
      <c r="BN53" t="s">
        <v>362</v>
      </c>
      <c r="BQ53">
        <f t="shared" si="11"/>
        <v>0</v>
      </c>
      <c r="BR53" t="s">
        <v>363</v>
      </c>
      <c r="BS53">
        <v>7399.1</v>
      </c>
      <c r="BT53">
        <v>4349.49</v>
      </c>
      <c r="BV53" t="s">
        <v>363</v>
      </c>
      <c r="BW53">
        <v>7399.1</v>
      </c>
      <c r="BX53">
        <v>4349.49</v>
      </c>
      <c r="BZ53" t="s">
        <v>366</v>
      </c>
      <c r="CA53">
        <v>64932.39</v>
      </c>
      <c r="CB53">
        <v>56120.93</v>
      </c>
      <c r="CD53" t="s">
        <v>366</v>
      </c>
      <c r="CE53">
        <v>64016.45</v>
      </c>
      <c r="CF53">
        <v>56120.93</v>
      </c>
      <c r="CH53" t="s">
        <v>366</v>
      </c>
      <c r="CI53">
        <v>64016.45</v>
      </c>
      <c r="CJ53">
        <v>56120.93</v>
      </c>
    </row>
    <row r="54" spans="1:88" x14ac:dyDescent="0.3">
      <c r="A54" t="s">
        <v>245</v>
      </c>
      <c r="B54" t="s">
        <v>127</v>
      </c>
      <c r="C54" t="s">
        <v>282</v>
      </c>
      <c r="D54">
        <f t="shared" si="7"/>
        <v>3150.87</v>
      </c>
      <c r="E54">
        <f t="shared" si="8"/>
        <v>498.24</v>
      </c>
      <c r="F54" s="75">
        <f t="shared" si="10"/>
        <v>0</v>
      </c>
      <c r="G54" t="s">
        <v>362</v>
      </c>
      <c r="J54" s="75">
        <f t="shared" ref="J54:J59" si="14">SUMIFS(E:E,C:C,G54)-I54</f>
        <v>0</v>
      </c>
      <c r="L54" t="s">
        <v>362</v>
      </c>
      <c r="P54" t="s">
        <v>362</v>
      </c>
      <c r="T54" t="s">
        <v>362</v>
      </c>
      <c r="X54" t="s">
        <v>362</v>
      </c>
      <c r="AB54" t="s">
        <v>362</v>
      </c>
      <c r="AC54"/>
      <c r="AD54"/>
      <c r="AG54" t="s">
        <v>362</v>
      </c>
      <c r="AL54" t="s">
        <v>362</v>
      </c>
      <c r="AP54" t="s">
        <v>273</v>
      </c>
      <c r="AQ54">
        <v>3601.5</v>
      </c>
      <c r="AR54">
        <v>3430</v>
      </c>
      <c r="AT54" t="s">
        <v>273</v>
      </c>
      <c r="AU54">
        <v>3601.5</v>
      </c>
      <c r="AV54">
        <v>3430</v>
      </c>
      <c r="AX54" t="s">
        <v>273</v>
      </c>
      <c r="AY54">
        <v>3601.5</v>
      </c>
      <c r="AZ54">
        <v>3430</v>
      </c>
      <c r="BB54" t="s">
        <v>273</v>
      </c>
      <c r="BC54">
        <v>3148.25</v>
      </c>
      <c r="BD54">
        <v>3001.25</v>
      </c>
      <c r="BF54" t="s">
        <v>273</v>
      </c>
      <c r="BG54">
        <v>2695</v>
      </c>
      <c r="BH54">
        <v>2240</v>
      </c>
      <c r="BJ54" t="s">
        <v>273</v>
      </c>
      <c r="BK54">
        <v>2241.75</v>
      </c>
      <c r="BL54">
        <v>1811.25</v>
      </c>
      <c r="BN54" t="s">
        <v>273</v>
      </c>
      <c r="BO54">
        <v>1788.5</v>
      </c>
      <c r="BP54">
        <v>1382.5</v>
      </c>
      <c r="BQ54">
        <f t="shared" si="11"/>
        <v>0</v>
      </c>
      <c r="BR54" t="s">
        <v>364</v>
      </c>
      <c r="BS54">
        <v>157587.04</v>
      </c>
      <c r="BT54">
        <v>146944.01</v>
      </c>
      <c r="BV54" t="s">
        <v>364</v>
      </c>
      <c r="BW54">
        <v>157587.04</v>
      </c>
      <c r="BX54">
        <v>146944.01</v>
      </c>
      <c r="BZ54" t="s">
        <v>367</v>
      </c>
      <c r="CD54" t="s">
        <v>367</v>
      </c>
      <c r="CH54" t="s">
        <v>367</v>
      </c>
    </row>
    <row r="55" spans="1:88" x14ac:dyDescent="0.3">
      <c r="A55" t="s">
        <v>245</v>
      </c>
      <c r="B55" t="s">
        <v>136</v>
      </c>
      <c r="C55" t="s">
        <v>140</v>
      </c>
      <c r="D55">
        <f t="shared" si="7"/>
        <v>83155.47</v>
      </c>
      <c r="E55">
        <f t="shared" si="8"/>
        <v>45438.02</v>
      </c>
      <c r="F55" s="75">
        <f t="shared" si="10"/>
        <v>0</v>
      </c>
      <c r="G55" t="s">
        <v>273</v>
      </c>
      <c r="H55">
        <v>5414.5</v>
      </c>
      <c r="I55">
        <v>5145</v>
      </c>
      <c r="J55" s="75">
        <f t="shared" si="14"/>
        <v>0</v>
      </c>
      <c r="L55" t="s">
        <v>273</v>
      </c>
      <c r="M55">
        <v>5414.5</v>
      </c>
      <c r="N55">
        <v>5145</v>
      </c>
      <c r="P55" t="s">
        <v>273</v>
      </c>
      <c r="Q55">
        <v>5414.5</v>
      </c>
      <c r="R55">
        <v>5145</v>
      </c>
      <c r="T55" t="s">
        <v>273</v>
      </c>
      <c r="U55">
        <v>5414.5</v>
      </c>
      <c r="V55">
        <v>5145</v>
      </c>
      <c r="X55" t="s">
        <v>273</v>
      </c>
      <c r="Y55">
        <v>5414.5</v>
      </c>
      <c r="Z55">
        <v>5145</v>
      </c>
      <c r="AB55" t="s">
        <v>273</v>
      </c>
      <c r="AC55">
        <v>4961.25</v>
      </c>
      <c r="AD55">
        <v>4716.25</v>
      </c>
      <c r="AG55" t="s">
        <v>273</v>
      </c>
      <c r="AH55">
        <v>4508</v>
      </c>
      <c r="AI55">
        <v>4287.5</v>
      </c>
      <c r="AL55" t="s">
        <v>273</v>
      </c>
      <c r="AM55">
        <v>4054.75</v>
      </c>
      <c r="AN55">
        <v>3858.75</v>
      </c>
      <c r="AP55" t="s">
        <v>274</v>
      </c>
      <c r="AQ55">
        <v>15160.9</v>
      </c>
      <c r="AR55">
        <v>13724.89</v>
      </c>
      <c r="AT55" t="s">
        <v>274</v>
      </c>
      <c r="AU55">
        <v>15160.9</v>
      </c>
      <c r="AV55">
        <v>13724.89</v>
      </c>
      <c r="AX55" t="s">
        <v>274</v>
      </c>
      <c r="AY55">
        <v>15160.9</v>
      </c>
      <c r="AZ55">
        <v>13724.89</v>
      </c>
      <c r="BB55" t="s">
        <v>274</v>
      </c>
      <c r="BC55">
        <v>13341.49</v>
      </c>
      <c r="BD55">
        <v>12009.06</v>
      </c>
      <c r="BF55" t="s">
        <v>274</v>
      </c>
      <c r="BG55">
        <v>11522.08</v>
      </c>
      <c r="BH55">
        <v>5918.23</v>
      </c>
      <c r="BJ55" t="s">
        <v>274</v>
      </c>
      <c r="BK55">
        <v>9702.67</v>
      </c>
      <c r="BL55">
        <v>5077.3999999999996</v>
      </c>
      <c r="BN55" t="s">
        <v>274</v>
      </c>
      <c r="BO55">
        <v>7883.26</v>
      </c>
      <c r="BP55">
        <v>4236.57</v>
      </c>
      <c r="BQ55">
        <f t="shared" si="11"/>
        <v>0</v>
      </c>
      <c r="BR55" t="s">
        <v>365</v>
      </c>
      <c r="BS55">
        <v>192485.07</v>
      </c>
      <c r="BT55">
        <v>174026.45</v>
      </c>
      <c r="BV55" t="s">
        <v>365</v>
      </c>
      <c r="BW55">
        <v>192485.07</v>
      </c>
      <c r="BX55">
        <v>174026.45</v>
      </c>
      <c r="BZ55" t="s">
        <v>276</v>
      </c>
      <c r="CA55">
        <v>4569.1400000000003</v>
      </c>
      <c r="CB55">
        <v>8756.91</v>
      </c>
      <c r="CD55" t="s">
        <v>276</v>
      </c>
      <c r="CE55">
        <v>4569.1400000000003</v>
      </c>
      <c r="CF55">
        <v>8756.91</v>
      </c>
      <c r="CH55" t="s">
        <v>276</v>
      </c>
      <c r="CI55">
        <v>4289.16</v>
      </c>
      <c r="CJ55">
        <v>8756.91</v>
      </c>
    </row>
    <row r="56" spans="1:88" x14ac:dyDescent="0.3">
      <c r="A56" t="s">
        <v>245</v>
      </c>
      <c r="B56" t="s">
        <v>508</v>
      </c>
      <c r="C56" t="s">
        <v>489</v>
      </c>
      <c r="D56">
        <f t="shared" si="7"/>
        <v>2747.95</v>
      </c>
      <c r="E56">
        <f t="shared" si="8"/>
        <v>0</v>
      </c>
      <c r="F56" s="75">
        <f t="shared" si="10"/>
        <v>0</v>
      </c>
      <c r="G56" t="s">
        <v>274</v>
      </c>
      <c r="H56">
        <v>22438.54</v>
      </c>
      <c r="I56">
        <v>22239.61</v>
      </c>
      <c r="J56" s="75">
        <f t="shared" si="14"/>
        <v>0</v>
      </c>
      <c r="L56" t="s">
        <v>274</v>
      </c>
      <c r="M56">
        <v>22438.54</v>
      </c>
      <c r="N56">
        <v>22239.61</v>
      </c>
      <c r="P56" t="s">
        <v>274</v>
      </c>
      <c r="Q56">
        <v>22438.54</v>
      </c>
      <c r="R56">
        <v>22239.61</v>
      </c>
      <c r="T56" t="s">
        <v>274</v>
      </c>
      <c r="U56">
        <v>22438.54</v>
      </c>
      <c r="V56">
        <v>22239.61</v>
      </c>
      <c r="X56" t="s">
        <v>274</v>
      </c>
      <c r="Y56">
        <v>22438.54</v>
      </c>
      <c r="Z56">
        <v>22239.61</v>
      </c>
      <c r="AB56" t="s">
        <v>274</v>
      </c>
      <c r="AC56">
        <v>20619.13</v>
      </c>
      <c r="AD56">
        <v>20537.689999999999</v>
      </c>
      <c r="AG56" t="s">
        <v>274</v>
      </c>
      <c r="AH56">
        <v>18799.72</v>
      </c>
      <c r="AI56">
        <v>17809.849999999999</v>
      </c>
      <c r="AL56" t="s">
        <v>274</v>
      </c>
      <c r="AM56">
        <v>16980.310000000001</v>
      </c>
      <c r="AN56">
        <v>15440.72</v>
      </c>
      <c r="AP56" t="s">
        <v>363</v>
      </c>
      <c r="AQ56">
        <v>18762.400000000001</v>
      </c>
      <c r="AR56">
        <v>17154.89</v>
      </c>
      <c r="AT56" t="s">
        <v>363</v>
      </c>
      <c r="AU56">
        <v>18762.400000000001</v>
      </c>
      <c r="AV56">
        <v>17154.89</v>
      </c>
      <c r="AX56" t="s">
        <v>363</v>
      </c>
      <c r="AY56">
        <v>18762.400000000001</v>
      </c>
      <c r="AZ56">
        <v>17154.89</v>
      </c>
      <c r="BB56" t="s">
        <v>363</v>
      </c>
      <c r="BC56">
        <v>16489.740000000002</v>
      </c>
      <c r="BD56">
        <v>15010.31</v>
      </c>
      <c r="BF56" t="s">
        <v>363</v>
      </c>
      <c r="BG56">
        <v>14217.08</v>
      </c>
      <c r="BH56">
        <v>8158.23</v>
      </c>
      <c r="BJ56" t="s">
        <v>363</v>
      </c>
      <c r="BK56">
        <v>11944.42</v>
      </c>
      <c r="BL56">
        <v>6888.65</v>
      </c>
      <c r="BN56" t="s">
        <v>363</v>
      </c>
      <c r="BO56">
        <v>9671.76</v>
      </c>
      <c r="BP56">
        <v>5619.07</v>
      </c>
      <c r="BQ56">
        <f t="shared" si="11"/>
        <v>0</v>
      </c>
      <c r="BR56" t="s">
        <v>366</v>
      </c>
      <c r="BS56">
        <v>192485.07</v>
      </c>
      <c r="BT56">
        <v>174026.45</v>
      </c>
      <c r="BV56" t="s">
        <v>366</v>
      </c>
      <c r="BW56">
        <v>192485.07</v>
      </c>
      <c r="BX56">
        <v>174026.45</v>
      </c>
      <c r="BZ56" t="s">
        <v>130</v>
      </c>
      <c r="CA56">
        <v>1648.81</v>
      </c>
      <c r="CB56">
        <v>0</v>
      </c>
      <c r="CD56" t="s">
        <v>130</v>
      </c>
      <c r="CE56">
        <v>1648.81</v>
      </c>
      <c r="CF56">
        <v>0</v>
      </c>
      <c r="CH56" t="s">
        <v>130</v>
      </c>
      <c r="CI56">
        <v>1648.81</v>
      </c>
      <c r="CJ56">
        <v>0</v>
      </c>
    </row>
    <row r="57" spans="1:88" x14ac:dyDescent="0.3">
      <c r="A57" t="s">
        <v>245</v>
      </c>
      <c r="B57" t="s">
        <v>147</v>
      </c>
      <c r="C57" t="s">
        <v>283</v>
      </c>
      <c r="D57">
        <f t="shared" si="7"/>
        <v>14969.42</v>
      </c>
      <c r="E57">
        <f t="shared" si="8"/>
        <v>14272.8</v>
      </c>
      <c r="F57" s="75">
        <f t="shared" si="10"/>
        <v>-27853.040000000001</v>
      </c>
      <c r="G57" t="s">
        <v>363</v>
      </c>
      <c r="H57">
        <v>27853.040000000001</v>
      </c>
      <c r="I57">
        <v>27384.61</v>
      </c>
      <c r="J57" s="75">
        <f t="shared" si="14"/>
        <v>-27384.61</v>
      </c>
      <c r="L57" t="s">
        <v>363</v>
      </c>
      <c r="M57">
        <v>27853.040000000001</v>
      </c>
      <c r="N57">
        <v>27384.61</v>
      </c>
      <c r="P57" t="s">
        <v>363</v>
      </c>
      <c r="Q57">
        <v>27853.040000000001</v>
      </c>
      <c r="R57">
        <v>27384.61</v>
      </c>
      <c r="T57" t="s">
        <v>363</v>
      </c>
      <c r="U57">
        <v>27853.040000000001</v>
      </c>
      <c r="V57">
        <v>27384.61</v>
      </c>
      <c r="X57" t="s">
        <v>363</v>
      </c>
      <c r="Y57">
        <v>27853.040000000001</v>
      </c>
      <c r="Z57">
        <v>27384.61</v>
      </c>
      <c r="AB57" t="s">
        <v>363</v>
      </c>
      <c r="AC57">
        <v>25580.38</v>
      </c>
      <c r="AD57">
        <v>25253.94</v>
      </c>
      <c r="AG57" t="s">
        <v>363</v>
      </c>
      <c r="AH57">
        <v>23307.72</v>
      </c>
      <c r="AI57">
        <v>22097.35</v>
      </c>
      <c r="AL57" t="s">
        <v>363</v>
      </c>
      <c r="AM57">
        <v>21035.06</v>
      </c>
      <c r="AN57">
        <v>19299.47</v>
      </c>
      <c r="AP57" t="s">
        <v>364</v>
      </c>
      <c r="AQ57">
        <v>457874.19</v>
      </c>
      <c r="AR57">
        <v>392204.39</v>
      </c>
      <c r="AT57" t="s">
        <v>364</v>
      </c>
      <c r="AU57">
        <v>457874.19</v>
      </c>
      <c r="AV57">
        <v>392204.39</v>
      </c>
      <c r="AX57" t="s">
        <v>364</v>
      </c>
      <c r="AY57">
        <v>460888.39</v>
      </c>
      <c r="AZ57">
        <v>392204.39</v>
      </c>
      <c r="BB57" t="s">
        <v>364</v>
      </c>
      <c r="BC57">
        <v>399919.05</v>
      </c>
      <c r="BD57">
        <v>343325.84</v>
      </c>
      <c r="BF57" t="s">
        <v>364</v>
      </c>
      <c r="BG57">
        <v>344489.08</v>
      </c>
      <c r="BH57">
        <v>293950.95</v>
      </c>
      <c r="BJ57" t="s">
        <v>364</v>
      </c>
      <c r="BK57">
        <v>287982.64</v>
      </c>
      <c r="BL57">
        <v>244178</v>
      </c>
      <c r="BN57" t="s">
        <v>364</v>
      </c>
      <c r="BO57">
        <v>211452.32</v>
      </c>
      <c r="BP57">
        <v>194858.46</v>
      </c>
      <c r="BQ57">
        <f t="shared" si="11"/>
        <v>-27384.61</v>
      </c>
      <c r="BR57" t="s">
        <v>367</v>
      </c>
      <c r="BV57" t="s">
        <v>367</v>
      </c>
      <c r="BZ57" t="s">
        <v>277</v>
      </c>
      <c r="CA57">
        <v>8134.22</v>
      </c>
      <c r="CB57">
        <v>15529.59</v>
      </c>
      <c r="CD57" t="s">
        <v>277</v>
      </c>
      <c r="CE57">
        <v>8134.22</v>
      </c>
      <c r="CF57">
        <v>15529.59</v>
      </c>
      <c r="CH57" t="s">
        <v>277</v>
      </c>
      <c r="CI57">
        <v>8069.08</v>
      </c>
      <c r="CJ57">
        <v>15529.59</v>
      </c>
    </row>
    <row r="58" spans="1:88" x14ac:dyDescent="0.3">
      <c r="A58" t="s">
        <v>245</v>
      </c>
      <c r="B58" t="s">
        <v>135</v>
      </c>
      <c r="C58" t="s">
        <v>284</v>
      </c>
      <c r="D58">
        <f t="shared" si="7"/>
        <v>0</v>
      </c>
      <c r="E58">
        <f t="shared" si="8"/>
        <v>2690.35</v>
      </c>
      <c r="F58" s="75">
        <f t="shared" si="10"/>
        <v>-696672.77</v>
      </c>
      <c r="G58" t="s">
        <v>364</v>
      </c>
      <c r="H58">
        <v>696672.77</v>
      </c>
      <c r="I58">
        <v>605538.55000000005</v>
      </c>
      <c r="J58" s="75">
        <f t="shared" si="14"/>
        <v>-605538.55000000005</v>
      </c>
      <c r="L58" t="s">
        <v>364</v>
      </c>
      <c r="M58">
        <v>696672.77</v>
      </c>
      <c r="N58">
        <v>605538.55000000005</v>
      </c>
      <c r="P58" t="s">
        <v>364</v>
      </c>
      <c r="Q58">
        <v>696672.77</v>
      </c>
      <c r="R58">
        <v>605538.55000000005</v>
      </c>
      <c r="T58" t="s">
        <v>364</v>
      </c>
      <c r="U58">
        <v>696672.77</v>
      </c>
      <c r="V58">
        <v>605538.55000000005</v>
      </c>
      <c r="X58" t="s">
        <v>364</v>
      </c>
      <c r="Y58">
        <v>691873.8</v>
      </c>
      <c r="Z58">
        <v>605538.55000000005</v>
      </c>
      <c r="AB58" t="s">
        <v>364</v>
      </c>
      <c r="AC58">
        <v>633733.28</v>
      </c>
      <c r="AD58">
        <v>554263.68000000005</v>
      </c>
      <c r="AG58" t="s">
        <v>364</v>
      </c>
      <c r="AH58">
        <v>575087.09</v>
      </c>
      <c r="AI58">
        <v>502784.82</v>
      </c>
      <c r="AL58" t="s">
        <v>364</v>
      </c>
      <c r="AM58">
        <v>516759.79</v>
      </c>
      <c r="AN58">
        <v>447808.17</v>
      </c>
      <c r="AP58" t="s">
        <v>365</v>
      </c>
      <c r="AQ58">
        <v>546992.75</v>
      </c>
      <c r="AR58">
        <v>471481.17</v>
      </c>
      <c r="AT58" t="s">
        <v>365</v>
      </c>
      <c r="AU58">
        <v>546992.75</v>
      </c>
      <c r="AV58">
        <v>471481.17</v>
      </c>
      <c r="AX58" t="s">
        <v>365</v>
      </c>
      <c r="AY58">
        <v>550006.94999999995</v>
      </c>
      <c r="AZ58">
        <v>471481.17</v>
      </c>
      <c r="BB58" t="s">
        <v>365</v>
      </c>
      <c r="BC58">
        <v>476602.97</v>
      </c>
      <c r="BD58">
        <v>410176.49</v>
      </c>
      <c r="BF58" t="s">
        <v>365</v>
      </c>
      <c r="BG58">
        <v>411636.31</v>
      </c>
      <c r="BH58">
        <v>351735.87</v>
      </c>
      <c r="BJ58" t="s">
        <v>365</v>
      </c>
      <c r="BK58">
        <v>342450.28</v>
      </c>
      <c r="BL58">
        <v>292972.61</v>
      </c>
      <c r="BN58" t="s">
        <v>365</v>
      </c>
      <c r="BO58">
        <v>256320.27</v>
      </c>
      <c r="BP58">
        <v>234330.96</v>
      </c>
      <c r="BQ58">
        <f t="shared" si="11"/>
        <v>-605538.55000000005</v>
      </c>
      <c r="BR58" t="s">
        <v>276</v>
      </c>
      <c r="BS58">
        <v>24359.599999999999</v>
      </c>
      <c r="BT58">
        <v>32266.22</v>
      </c>
      <c r="BV58" t="s">
        <v>276</v>
      </c>
      <c r="BW58">
        <v>24359.599999999999</v>
      </c>
      <c r="BX58">
        <v>32266.22</v>
      </c>
      <c r="BZ58" t="s">
        <v>278</v>
      </c>
      <c r="CA58">
        <v>3014.75</v>
      </c>
      <c r="CB58">
        <v>3830</v>
      </c>
      <c r="CD58" t="s">
        <v>278</v>
      </c>
      <c r="CE58">
        <v>3014.75</v>
      </c>
      <c r="CF58">
        <v>3830</v>
      </c>
      <c r="CH58" t="s">
        <v>278</v>
      </c>
      <c r="CI58">
        <v>3014.75</v>
      </c>
      <c r="CJ58">
        <v>3830</v>
      </c>
    </row>
    <row r="59" spans="1:88" x14ac:dyDescent="0.3">
      <c r="A59" t="s">
        <v>245</v>
      </c>
      <c r="B59" t="s">
        <v>508</v>
      </c>
      <c r="C59" t="s">
        <v>137</v>
      </c>
      <c r="D59">
        <f t="shared" si="7"/>
        <v>24994.6</v>
      </c>
      <c r="E59">
        <f t="shared" si="8"/>
        <v>15871.4</v>
      </c>
      <c r="F59" s="75">
        <f t="shared" si="10"/>
        <v>-831270.59</v>
      </c>
      <c r="G59" t="s">
        <v>365</v>
      </c>
      <c r="H59">
        <v>831270.59</v>
      </c>
      <c r="I59">
        <v>727740.37</v>
      </c>
      <c r="J59" s="75">
        <f t="shared" si="14"/>
        <v>-727740.37</v>
      </c>
      <c r="L59" t="s">
        <v>365</v>
      </c>
      <c r="M59">
        <v>831240.61</v>
      </c>
      <c r="N59">
        <v>727740.37</v>
      </c>
      <c r="P59" t="s">
        <v>365</v>
      </c>
      <c r="Q59">
        <v>829764.88</v>
      </c>
      <c r="R59">
        <v>727740.37</v>
      </c>
      <c r="T59" t="s">
        <v>365</v>
      </c>
      <c r="U59">
        <v>829764.88</v>
      </c>
      <c r="V59">
        <v>727740.37</v>
      </c>
      <c r="X59" t="s">
        <v>365</v>
      </c>
      <c r="Y59">
        <v>824965.91</v>
      </c>
      <c r="Z59">
        <v>727740.37</v>
      </c>
      <c r="AB59" t="s">
        <v>365</v>
      </c>
      <c r="AC59">
        <v>754684.57</v>
      </c>
      <c r="AD59">
        <v>663522.55000000005</v>
      </c>
      <c r="AG59" t="s">
        <v>365</v>
      </c>
      <c r="AH59">
        <v>685385.88</v>
      </c>
      <c r="AI59">
        <v>601989.61</v>
      </c>
      <c r="AL59" t="s">
        <v>365</v>
      </c>
      <c r="AM59">
        <v>619048.66</v>
      </c>
      <c r="AN59">
        <v>537178.11</v>
      </c>
      <c r="AP59" t="s">
        <v>366</v>
      </c>
      <c r="AQ59">
        <v>546992.75</v>
      </c>
      <c r="AR59">
        <v>471481.17</v>
      </c>
      <c r="AT59" t="s">
        <v>366</v>
      </c>
      <c r="AU59">
        <v>546992.75</v>
      </c>
      <c r="AV59">
        <v>471481.17</v>
      </c>
      <c r="AX59" t="s">
        <v>366</v>
      </c>
      <c r="AY59">
        <v>550006.94999999995</v>
      </c>
      <c r="AZ59">
        <v>471481.17</v>
      </c>
      <c r="BB59" t="s">
        <v>366</v>
      </c>
      <c r="BC59">
        <v>476602.97</v>
      </c>
      <c r="BD59">
        <v>410176.49</v>
      </c>
      <c r="BF59" t="s">
        <v>366</v>
      </c>
      <c r="BG59">
        <v>411636.31</v>
      </c>
      <c r="BH59">
        <v>351735.87</v>
      </c>
      <c r="BJ59" t="s">
        <v>366</v>
      </c>
      <c r="BK59">
        <v>342450.28</v>
      </c>
      <c r="BL59">
        <v>292972.61</v>
      </c>
      <c r="BN59" t="s">
        <v>366</v>
      </c>
      <c r="BO59">
        <v>256320.27</v>
      </c>
      <c r="BP59">
        <v>234330.96</v>
      </c>
      <c r="BQ59">
        <f t="shared" si="11"/>
        <v>-727740.37</v>
      </c>
      <c r="BR59" t="s">
        <v>130</v>
      </c>
      <c r="BS59">
        <v>8779.08</v>
      </c>
      <c r="BT59">
        <v>18633.63</v>
      </c>
      <c r="BV59" t="s">
        <v>130</v>
      </c>
      <c r="BW59">
        <v>8779.08</v>
      </c>
      <c r="BX59">
        <v>18633.63</v>
      </c>
      <c r="BZ59" t="s">
        <v>279</v>
      </c>
      <c r="CA59">
        <v>0</v>
      </c>
      <c r="CB59">
        <v>400</v>
      </c>
      <c r="CD59" t="s">
        <v>279</v>
      </c>
      <c r="CE59">
        <v>0</v>
      </c>
      <c r="CF59">
        <v>400</v>
      </c>
      <c r="CH59" t="s">
        <v>279</v>
      </c>
      <c r="CI59">
        <v>0</v>
      </c>
      <c r="CJ59">
        <v>400</v>
      </c>
    </row>
    <row r="60" spans="1:88" x14ac:dyDescent="0.3">
      <c r="A60" t="s">
        <v>245</v>
      </c>
      <c r="B60" t="s">
        <v>221</v>
      </c>
      <c r="C60" t="s">
        <v>285</v>
      </c>
      <c r="D60">
        <f t="shared" si="7"/>
        <v>0</v>
      </c>
      <c r="E60">
        <f t="shared" si="8"/>
        <v>31856</v>
      </c>
      <c r="F60" s="75">
        <f t="shared" si="10"/>
        <v>-831270.59</v>
      </c>
      <c r="G60" t="s">
        <v>366</v>
      </c>
      <c r="H60">
        <v>831270.59</v>
      </c>
      <c r="I60">
        <v>727740.37</v>
      </c>
      <c r="L60" t="s">
        <v>366</v>
      </c>
      <c r="M60">
        <v>831240.61</v>
      </c>
      <c r="N60">
        <v>727740.37</v>
      </c>
      <c r="P60" t="s">
        <v>366</v>
      </c>
      <c r="Q60">
        <v>829764.88</v>
      </c>
      <c r="R60">
        <v>727740.37</v>
      </c>
      <c r="T60" t="s">
        <v>366</v>
      </c>
      <c r="U60">
        <v>829764.88</v>
      </c>
      <c r="V60">
        <v>727740.37</v>
      </c>
      <c r="X60" t="s">
        <v>366</v>
      </c>
      <c r="Y60">
        <v>824965.91</v>
      </c>
      <c r="Z60">
        <v>727740.37</v>
      </c>
      <c r="AB60" t="s">
        <v>366</v>
      </c>
      <c r="AC60">
        <v>754684.57</v>
      </c>
      <c r="AD60">
        <v>663522.55000000005</v>
      </c>
      <c r="AG60" t="s">
        <v>366</v>
      </c>
      <c r="AH60">
        <v>685385.88</v>
      </c>
      <c r="AI60">
        <v>601989.61</v>
      </c>
      <c r="AL60" t="s">
        <v>366</v>
      </c>
      <c r="AM60">
        <v>619048.66</v>
      </c>
      <c r="AN60">
        <v>537178.11</v>
      </c>
      <c r="AP60" t="s">
        <v>367</v>
      </c>
      <c r="AT60" t="s">
        <v>367</v>
      </c>
      <c r="AX60" t="s">
        <v>367</v>
      </c>
      <c r="BB60" t="s">
        <v>367</v>
      </c>
      <c r="BF60" t="s">
        <v>367</v>
      </c>
      <c r="BJ60" t="s">
        <v>367</v>
      </c>
      <c r="BN60" t="s">
        <v>367</v>
      </c>
      <c r="BQ60">
        <f t="shared" si="11"/>
        <v>-727740.37</v>
      </c>
      <c r="BR60" t="s">
        <v>277</v>
      </c>
      <c r="BS60">
        <v>68524.27</v>
      </c>
      <c r="BT60">
        <v>172719.85</v>
      </c>
      <c r="BV60" t="s">
        <v>277</v>
      </c>
      <c r="BW60">
        <v>68524.27</v>
      </c>
      <c r="BX60">
        <v>172719.85</v>
      </c>
      <c r="BZ60" t="s">
        <v>123</v>
      </c>
      <c r="CA60">
        <v>740</v>
      </c>
      <c r="CB60">
        <v>0</v>
      </c>
      <c r="CD60" t="s">
        <v>123</v>
      </c>
      <c r="CE60">
        <v>740</v>
      </c>
      <c r="CF60">
        <v>0</v>
      </c>
      <c r="CH60" t="s">
        <v>123</v>
      </c>
      <c r="CI60">
        <v>740</v>
      </c>
      <c r="CJ60">
        <v>0</v>
      </c>
    </row>
    <row r="61" spans="1:88" x14ac:dyDescent="0.3">
      <c r="A61" t="s">
        <v>245</v>
      </c>
      <c r="B61" t="s">
        <v>120</v>
      </c>
      <c r="C61" t="s">
        <v>120</v>
      </c>
      <c r="D61">
        <f t="shared" si="7"/>
        <v>19431.72</v>
      </c>
      <c r="E61">
        <f t="shared" si="8"/>
        <v>20173.240000000002</v>
      </c>
      <c r="F61" s="75">
        <f t="shared" si="10"/>
        <v>0</v>
      </c>
      <c r="G61" t="s">
        <v>367</v>
      </c>
      <c r="J61" s="75">
        <f t="shared" ref="J61:J88" si="15">SUMIFS(E:E,C:C,G61)-I61</f>
        <v>0</v>
      </c>
      <c r="L61" t="s">
        <v>367</v>
      </c>
      <c r="P61" t="s">
        <v>367</v>
      </c>
      <c r="T61" t="s">
        <v>367</v>
      </c>
      <c r="X61" t="s">
        <v>367</v>
      </c>
      <c r="AB61" t="s">
        <v>367</v>
      </c>
      <c r="AC61"/>
      <c r="AD61"/>
      <c r="AG61" t="s">
        <v>367</v>
      </c>
      <c r="AL61" t="s">
        <v>367</v>
      </c>
      <c r="AP61" t="s">
        <v>276</v>
      </c>
      <c r="AQ61">
        <v>80559.070000000007</v>
      </c>
      <c r="AR61">
        <v>67447.039999999994</v>
      </c>
      <c r="AT61" t="s">
        <v>276</v>
      </c>
      <c r="AU61">
        <v>80559.070000000007</v>
      </c>
      <c r="AV61">
        <v>67447.039999999994</v>
      </c>
      <c r="AX61" t="s">
        <v>276</v>
      </c>
      <c r="AY61">
        <v>79554.73</v>
      </c>
      <c r="AZ61">
        <v>67447.039999999994</v>
      </c>
      <c r="BB61" t="s">
        <v>276</v>
      </c>
      <c r="BC61">
        <v>66336.53</v>
      </c>
      <c r="BD61">
        <v>60283.75</v>
      </c>
      <c r="BF61" t="s">
        <v>276</v>
      </c>
      <c r="BG61">
        <v>62778.66</v>
      </c>
      <c r="BH61">
        <v>58084.28</v>
      </c>
      <c r="BJ61" t="s">
        <v>276</v>
      </c>
      <c r="BK61">
        <v>47780.88</v>
      </c>
      <c r="BL61">
        <v>50491.06</v>
      </c>
      <c r="BN61" t="s">
        <v>276</v>
      </c>
      <c r="BO61">
        <v>38140.82</v>
      </c>
      <c r="BP61">
        <v>42051.91</v>
      </c>
      <c r="BQ61">
        <f t="shared" si="11"/>
        <v>0</v>
      </c>
      <c r="BR61" t="s">
        <v>121</v>
      </c>
      <c r="BS61">
        <v>2153.7199999999998</v>
      </c>
      <c r="BT61">
        <v>440.95</v>
      </c>
      <c r="BV61" t="s">
        <v>121</v>
      </c>
      <c r="BW61">
        <v>2153.7199999999998</v>
      </c>
      <c r="BX61">
        <v>440.95</v>
      </c>
      <c r="BZ61" t="s">
        <v>280</v>
      </c>
      <c r="CA61">
        <v>4758</v>
      </c>
      <c r="CB61">
        <v>0</v>
      </c>
      <c r="CD61" t="s">
        <v>280</v>
      </c>
      <c r="CE61">
        <v>4758</v>
      </c>
      <c r="CF61">
        <v>0</v>
      </c>
      <c r="CH61" t="s">
        <v>280</v>
      </c>
      <c r="CI61">
        <v>4758</v>
      </c>
      <c r="CJ61">
        <v>0</v>
      </c>
    </row>
    <row r="62" spans="1:88" x14ac:dyDescent="0.3">
      <c r="A62" t="s">
        <v>245</v>
      </c>
      <c r="B62" t="s">
        <v>121</v>
      </c>
      <c r="C62" t="s">
        <v>121</v>
      </c>
      <c r="D62">
        <f t="shared" si="7"/>
        <v>25784.240000000002</v>
      </c>
      <c r="E62">
        <f t="shared" si="8"/>
        <v>14207.16</v>
      </c>
      <c r="F62" s="75">
        <f t="shared" si="10"/>
        <v>0</v>
      </c>
      <c r="G62" t="s">
        <v>124</v>
      </c>
      <c r="H62">
        <v>2104.16</v>
      </c>
      <c r="I62">
        <v>0</v>
      </c>
      <c r="J62" s="75">
        <f t="shared" si="15"/>
        <v>0</v>
      </c>
      <c r="L62" t="s">
        <v>276</v>
      </c>
      <c r="M62">
        <v>126071.96</v>
      </c>
      <c r="N62">
        <v>106967.67</v>
      </c>
      <c r="P62" t="s">
        <v>276</v>
      </c>
      <c r="Q62">
        <v>122365.16</v>
      </c>
      <c r="R62">
        <v>106967.67</v>
      </c>
      <c r="T62" t="s">
        <v>276</v>
      </c>
      <c r="U62">
        <v>122365.16</v>
      </c>
      <c r="V62">
        <v>106967.67</v>
      </c>
      <c r="X62" t="s">
        <v>276</v>
      </c>
      <c r="Y62">
        <v>122365.16</v>
      </c>
      <c r="Z62">
        <v>106967.67</v>
      </c>
      <c r="AB62" t="s">
        <v>276</v>
      </c>
      <c r="AC62">
        <v>108217.94</v>
      </c>
      <c r="AD62">
        <v>87059.04</v>
      </c>
      <c r="AG62" t="s">
        <v>276</v>
      </c>
      <c r="AH62">
        <v>100701.94</v>
      </c>
      <c r="AI62">
        <v>73496.899999999994</v>
      </c>
      <c r="AL62" t="s">
        <v>276</v>
      </c>
      <c r="AM62">
        <v>91816.78</v>
      </c>
      <c r="AN62">
        <v>64512.61</v>
      </c>
      <c r="AP62" t="s">
        <v>130</v>
      </c>
      <c r="AQ62">
        <v>36184.949999999997</v>
      </c>
      <c r="AR62">
        <v>30285.97</v>
      </c>
      <c r="AT62" t="s">
        <v>130</v>
      </c>
      <c r="AU62">
        <v>36184.949999999997</v>
      </c>
      <c r="AV62">
        <v>30285.97</v>
      </c>
      <c r="AX62" t="s">
        <v>130</v>
      </c>
      <c r="AY62">
        <v>36184.949999999997</v>
      </c>
      <c r="AZ62">
        <v>30285.97</v>
      </c>
      <c r="BB62" t="s">
        <v>130</v>
      </c>
      <c r="BC62">
        <v>29209.27</v>
      </c>
      <c r="BD62">
        <v>30285.97</v>
      </c>
      <c r="BF62" t="s">
        <v>130</v>
      </c>
      <c r="BG62">
        <v>17966.91</v>
      </c>
      <c r="BH62">
        <v>25433.58</v>
      </c>
      <c r="BJ62" t="s">
        <v>130</v>
      </c>
      <c r="BK62">
        <v>16966.91</v>
      </c>
      <c r="BL62">
        <v>25433.58</v>
      </c>
      <c r="BN62" t="s">
        <v>130</v>
      </c>
      <c r="BO62">
        <v>11627.76</v>
      </c>
      <c r="BP62">
        <v>22588.01</v>
      </c>
      <c r="BQ62">
        <f t="shared" si="11"/>
        <v>0</v>
      </c>
      <c r="BR62" t="s">
        <v>278</v>
      </c>
      <c r="BS62">
        <v>9738.5</v>
      </c>
      <c r="BT62">
        <v>15057.5</v>
      </c>
      <c r="BV62" t="s">
        <v>278</v>
      </c>
      <c r="BW62">
        <v>9738.5</v>
      </c>
      <c r="BX62">
        <v>15057.5</v>
      </c>
      <c r="BZ62" t="s">
        <v>140</v>
      </c>
      <c r="CA62">
        <v>10137.16</v>
      </c>
      <c r="CB62">
        <v>52468.26</v>
      </c>
      <c r="CD62" t="s">
        <v>140</v>
      </c>
      <c r="CE62">
        <v>10137.16</v>
      </c>
      <c r="CF62">
        <v>52468.26</v>
      </c>
      <c r="CH62" t="s">
        <v>140</v>
      </c>
      <c r="CI62">
        <v>9854.1</v>
      </c>
      <c r="CJ62">
        <v>52468.26</v>
      </c>
    </row>
    <row r="63" spans="1:88" x14ac:dyDescent="0.3">
      <c r="A63" t="s">
        <v>245</v>
      </c>
      <c r="B63" t="s">
        <v>129</v>
      </c>
      <c r="C63" t="s">
        <v>286</v>
      </c>
      <c r="D63">
        <f t="shared" si="7"/>
        <v>14376.12</v>
      </c>
      <c r="E63">
        <f t="shared" si="8"/>
        <v>12197.63</v>
      </c>
      <c r="F63" s="75">
        <f t="shared" si="10"/>
        <v>0</v>
      </c>
      <c r="G63" t="s">
        <v>276</v>
      </c>
      <c r="H63">
        <v>127505.83</v>
      </c>
      <c r="I63">
        <v>106967.67</v>
      </c>
      <c r="J63" s="75">
        <f t="shared" si="15"/>
        <v>0</v>
      </c>
      <c r="L63" t="s">
        <v>130</v>
      </c>
      <c r="M63">
        <v>49841.56</v>
      </c>
      <c r="N63">
        <v>43892.79</v>
      </c>
      <c r="P63" t="s">
        <v>130</v>
      </c>
      <c r="Q63">
        <v>49841.56</v>
      </c>
      <c r="R63">
        <v>43892.79</v>
      </c>
      <c r="T63" t="s">
        <v>130</v>
      </c>
      <c r="U63">
        <v>49841.56</v>
      </c>
      <c r="V63">
        <v>43892.79</v>
      </c>
      <c r="X63" t="s">
        <v>130</v>
      </c>
      <c r="Y63">
        <v>49841.56</v>
      </c>
      <c r="Z63">
        <v>43892.79</v>
      </c>
      <c r="AB63" t="s">
        <v>130</v>
      </c>
      <c r="AC63">
        <v>48357.36</v>
      </c>
      <c r="AD63">
        <v>38220.620000000003</v>
      </c>
      <c r="AG63" t="s">
        <v>130</v>
      </c>
      <c r="AH63">
        <v>44654.64</v>
      </c>
      <c r="AI63">
        <v>38220.620000000003</v>
      </c>
      <c r="AL63" t="s">
        <v>130</v>
      </c>
      <c r="AM63">
        <v>41483.599999999999</v>
      </c>
      <c r="AN63">
        <v>34056.71</v>
      </c>
      <c r="AP63" t="s">
        <v>277</v>
      </c>
      <c r="AQ63">
        <v>269655.32</v>
      </c>
      <c r="AR63">
        <v>298761.34000000003</v>
      </c>
      <c r="AT63" t="s">
        <v>277</v>
      </c>
      <c r="AU63">
        <v>269655.32</v>
      </c>
      <c r="AV63">
        <v>298761.34000000003</v>
      </c>
      <c r="AX63" t="s">
        <v>277</v>
      </c>
      <c r="AY63">
        <v>266692.32</v>
      </c>
      <c r="AZ63">
        <v>298761.34000000003</v>
      </c>
      <c r="BB63" t="s">
        <v>277</v>
      </c>
      <c r="BC63">
        <v>241430.39</v>
      </c>
      <c r="BD63">
        <v>298675.09000000003</v>
      </c>
      <c r="BF63" t="s">
        <v>277</v>
      </c>
      <c r="BG63">
        <v>179607.28</v>
      </c>
      <c r="BH63">
        <v>269763.63</v>
      </c>
      <c r="BJ63" t="s">
        <v>277</v>
      </c>
      <c r="BK63">
        <v>111993.01</v>
      </c>
      <c r="BL63">
        <v>249713.98</v>
      </c>
      <c r="BN63" t="s">
        <v>277</v>
      </c>
      <c r="BO63">
        <v>100229.57</v>
      </c>
      <c r="BP63">
        <v>207261.58</v>
      </c>
      <c r="BQ63">
        <f t="shared" si="11"/>
        <v>0</v>
      </c>
      <c r="BR63" t="s">
        <v>279</v>
      </c>
      <c r="BS63">
        <v>6150</v>
      </c>
      <c r="BT63">
        <v>13856.89</v>
      </c>
      <c r="BV63" t="s">
        <v>279</v>
      </c>
      <c r="BW63">
        <v>6150</v>
      </c>
      <c r="BX63">
        <v>13856.89</v>
      </c>
      <c r="BZ63" t="s">
        <v>489</v>
      </c>
      <c r="CA63">
        <v>618</v>
      </c>
      <c r="CB63">
        <v>0</v>
      </c>
      <c r="CD63" t="s">
        <v>489</v>
      </c>
      <c r="CE63">
        <v>618</v>
      </c>
      <c r="CF63">
        <v>0</v>
      </c>
      <c r="CH63" t="s">
        <v>489</v>
      </c>
      <c r="CI63">
        <v>618</v>
      </c>
      <c r="CJ63">
        <v>0</v>
      </c>
    </row>
    <row r="64" spans="1:88" x14ac:dyDescent="0.3">
      <c r="A64" t="s">
        <v>245</v>
      </c>
      <c r="B64" t="s">
        <v>143</v>
      </c>
      <c r="C64" t="s">
        <v>287</v>
      </c>
      <c r="D64">
        <f t="shared" si="7"/>
        <v>1500</v>
      </c>
      <c r="E64">
        <f t="shared" si="8"/>
        <v>0</v>
      </c>
      <c r="F64" s="75">
        <f t="shared" si="10"/>
        <v>0</v>
      </c>
      <c r="G64" t="s">
        <v>130</v>
      </c>
      <c r="H64">
        <v>49841.56</v>
      </c>
      <c r="I64">
        <v>43892.79</v>
      </c>
      <c r="J64" s="75">
        <f t="shared" si="15"/>
        <v>0</v>
      </c>
      <c r="L64" t="s">
        <v>277</v>
      </c>
      <c r="M64">
        <v>289517.21000000002</v>
      </c>
      <c r="N64">
        <v>317386.90999999997</v>
      </c>
      <c r="P64" t="s">
        <v>277</v>
      </c>
      <c r="Q64">
        <v>285129.36</v>
      </c>
      <c r="R64">
        <v>317386.90999999997</v>
      </c>
      <c r="T64" t="s">
        <v>277</v>
      </c>
      <c r="U64">
        <v>285129.36</v>
      </c>
      <c r="V64">
        <v>317386.90999999997</v>
      </c>
      <c r="X64" t="s">
        <v>277</v>
      </c>
      <c r="Y64">
        <v>285129.36</v>
      </c>
      <c r="Z64">
        <v>317386.90999999997</v>
      </c>
      <c r="AB64" t="s">
        <v>277</v>
      </c>
      <c r="AC64">
        <v>283897.86</v>
      </c>
      <c r="AD64">
        <v>296809.65999999997</v>
      </c>
      <c r="AG64" t="s">
        <v>277</v>
      </c>
      <c r="AH64">
        <v>283897.86</v>
      </c>
      <c r="AI64">
        <v>296809.65999999997</v>
      </c>
      <c r="AL64" t="s">
        <v>277</v>
      </c>
      <c r="AM64">
        <v>283797.86</v>
      </c>
      <c r="AN64">
        <v>295559.65999999997</v>
      </c>
      <c r="AP64" t="s">
        <v>121</v>
      </c>
      <c r="AQ64">
        <v>13958.89</v>
      </c>
      <c r="AR64">
        <v>6319.76</v>
      </c>
      <c r="AT64" t="s">
        <v>121</v>
      </c>
      <c r="AU64">
        <v>13958.89</v>
      </c>
      <c r="AV64">
        <v>6319.76</v>
      </c>
      <c r="AX64" t="s">
        <v>121</v>
      </c>
      <c r="AY64">
        <v>13958.89</v>
      </c>
      <c r="AZ64">
        <v>6319.76</v>
      </c>
      <c r="BB64" t="s">
        <v>121</v>
      </c>
      <c r="BC64">
        <v>12652.74</v>
      </c>
      <c r="BD64">
        <v>5307.47</v>
      </c>
      <c r="BF64" t="s">
        <v>121</v>
      </c>
      <c r="BG64">
        <v>3233.3</v>
      </c>
      <c r="BH64">
        <v>4433.1000000000004</v>
      </c>
      <c r="BJ64" t="s">
        <v>121</v>
      </c>
      <c r="BK64">
        <v>3233.3</v>
      </c>
      <c r="BL64">
        <v>4054.65</v>
      </c>
      <c r="BN64" t="s">
        <v>121</v>
      </c>
      <c r="BO64">
        <v>3233.3</v>
      </c>
      <c r="BP64">
        <v>760.53</v>
      </c>
      <c r="BQ64">
        <f t="shared" si="11"/>
        <v>0</v>
      </c>
      <c r="BR64" t="s">
        <v>123</v>
      </c>
      <c r="BS64">
        <v>740</v>
      </c>
      <c r="BT64">
        <v>0</v>
      </c>
      <c r="BV64" t="s">
        <v>123</v>
      </c>
      <c r="BW64">
        <v>740</v>
      </c>
      <c r="BX64">
        <v>0</v>
      </c>
      <c r="BZ64" t="s">
        <v>283</v>
      </c>
      <c r="CA64">
        <v>900</v>
      </c>
      <c r="CB64">
        <v>0</v>
      </c>
      <c r="CD64" t="s">
        <v>283</v>
      </c>
      <c r="CE64">
        <v>9</v>
      </c>
      <c r="CF64">
        <v>0</v>
      </c>
      <c r="CH64" t="s">
        <v>283</v>
      </c>
      <c r="CI64">
        <v>9</v>
      </c>
      <c r="CJ64">
        <v>0</v>
      </c>
    </row>
    <row r="65" spans="1:88" x14ac:dyDescent="0.3">
      <c r="A65" t="s">
        <v>245</v>
      </c>
      <c r="B65" t="s">
        <v>119</v>
      </c>
      <c r="C65" t="s">
        <v>119</v>
      </c>
      <c r="D65">
        <f t="shared" si="7"/>
        <v>67718.42</v>
      </c>
      <c r="E65">
        <f t="shared" si="8"/>
        <v>66998.240000000005</v>
      </c>
      <c r="F65" s="75">
        <f t="shared" si="10"/>
        <v>0</v>
      </c>
      <c r="G65" t="s">
        <v>277</v>
      </c>
      <c r="H65">
        <v>290386.26</v>
      </c>
      <c r="I65">
        <v>317386.90999999997</v>
      </c>
      <c r="J65" s="75">
        <f t="shared" si="15"/>
        <v>0</v>
      </c>
      <c r="L65" t="s">
        <v>121</v>
      </c>
      <c r="M65">
        <v>25784.240000000002</v>
      </c>
      <c r="N65">
        <v>14207.16</v>
      </c>
      <c r="P65" t="s">
        <v>121</v>
      </c>
      <c r="Q65">
        <v>25784.240000000002</v>
      </c>
      <c r="R65">
        <v>14207.16</v>
      </c>
      <c r="T65" t="s">
        <v>121</v>
      </c>
      <c r="U65">
        <v>25784.240000000002</v>
      </c>
      <c r="V65">
        <v>14207.16</v>
      </c>
      <c r="X65" t="s">
        <v>121</v>
      </c>
      <c r="Y65">
        <v>25784.240000000002</v>
      </c>
      <c r="Z65">
        <v>14207.16</v>
      </c>
      <c r="AB65" t="s">
        <v>121</v>
      </c>
      <c r="AC65">
        <v>19406.87</v>
      </c>
      <c r="AD65">
        <v>13351.79</v>
      </c>
      <c r="AG65" t="s">
        <v>121</v>
      </c>
      <c r="AH65">
        <v>19406.87</v>
      </c>
      <c r="AI65">
        <v>9677.1</v>
      </c>
      <c r="AL65" t="s">
        <v>121</v>
      </c>
      <c r="AM65">
        <v>16682.88</v>
      </c>
      <c r="AN65">
        <v>7985.33</v>
      </c>
      <c r="AP65" t="s">
        <v>278</v>
      </c>
      <c r="AQ65">
        <v>33076</v>
      </c>
      <c r="AR65">
        <v>31262</v>
      </c>
      <c r="AT65" t="s">
        <v>278</v>
      </c>
      <c r="AU65">
        <v>33076</v>
      </c>
      <c r="AV65">
        <v>31262</v>
      </c>
      <c r="AX65" t="s">
        <v>278</v>
      </c>
      <c r="AY65">
        <v>33076</v>
      </c>
      <c r="AZ65">
        <v>31262</v>
      </c>
      <c r="BB65" t="s">
        <v>278</v>
      </c>
      <c r="BC65">
        <v>28268.5</v>
      </c>
      <c r="BD65">
        <v>27932</v>
      </c>
      <c r="BF65" t="s">
        <v>278</v>
      </c>
      <c r="BG65">
        <v>24714.75</v>
      </c>
      <c r="BH65">
        <v>25837</v>
      </c>
      <c r="BJ65" t="s">
        <v>278</v>
      </c>
      <c r="BK65">
        <v>18879.75</v>
      </c>
      <c r="BL65">
        <v>23954</v>
      </c>
      <c r="BN65" t="s">
        <v>278</v>
      </c>
      <c r="BO65">
        <v>13511</v>
      </c>
      <c r="BP65">
        <v>17922.5</v>
      </c>
      <c r="BQ65">
        <f t="shared" si="11"/>
        <v>0</v>
      </c>
      <c r="BR65" t="s">
        <v>280</v>
      </c>
      <c r="BS65">
        <v>12844</v>
      </c>
      <c r="BT65">
        <v>7571.6</v>
      </c>
      <c r="BV65" t="s">
        <v>280</v>
      </c>
      <c r="BW65">
        <v>12844</v>
      </c>
      <c r="BX65">
        <v>7571.6</v>
      </c>
      <c r="BZ65" t="s">
        <v>281</v>
      </c>
      <c r="CA65">
        <v>1500</v>
      </c>
      <c r="CB65">
        <v>0</v>
      </c>
      <c r="CD65" t="s">
        <v>281</v>
      </c>
      <c r="CE65">
        <v>1500</v>
      </c>
      <c r="CF65">
        <v>0</v>
      </c>
      <c r="CH65" t="s">
        <v>281</v>
      </c>
      <c r="CI65">
        <v>1500</v>
      </c>
      <c r="CJ65">
        <v>0</v>
      </c>
    </row>
    <row r="66" spans="1:88" x14ac:dyDescent="0.3">
      <c r="A66" t="s">
        <v>245</v>
      </c>
      <c r="B66" t="s">
        <v>141</v>
      </c>
      <c r="C66" t="s">
        <v>141</v>
      </c>
      <c r="D66">
        <f t="shared" si="7"/>
        <v>249292.37</v>
      </c>
      <c r="E66">
        <f t="shared" si="8"/>
        <v>248213.76000000001</v>
      </c>
      <c r="F66" s="75">
        <f t="shared" si="10"/>
        <v>0</v>
      </c>
      <c r="G66" t="s">
        <v>121</v>
      </c>
      <c r="H66">
        <v>25784.240000000002</v>
      </c>
      <c r="I66">
        <v>14207.16</v>
      </c>
      <c r="J66" s="75">
        <f t="shared" si="15"/>
        <v>0</v>
      </c>
      <c r="L66" t="s">
        <v>278</v>
      </c>
      <c r="M66">
        <v>50321</v>
      </c>
      <c r="N66">
        <v>46344.75</v>
      </c>
      <c r="P66" t="s">
        <v>278</v>
      </c>
      <c r="Q66">
        <v>50321</v>
      </c>
      <c r="R66">
        <v>46344.75</v>
      </c>
      <c r="T66" t="s">
        <v>278</v>
      </c>
      <c r="U66">
        <v>50321</v>
      </c>
      <c r="V66">
        <v>46344.75</v>
      </c>
      <c r="X66" t="s">
        <v>278</v>
      </c>
      <c r="Y66">
        <v>50321</v>
      </c>
      <c r="Z66">
        <v>46344.75</v>
      </c>
      <c r="AB66" t="s">
        <v>278</v>
      </c>
      <c r="AC66">
        <v>46373.5</v>
      </c>
      <c r="AD66">
        <v>42733.5</v>
      </c>
      <c r="AG66" t="s">
        <v>278</v>
      </c>
      <c r="AH66">
        <v>40719.75</v>
      </c>
      <c r="AI66">
        <v>38295.5</v>
      </c>
      <c r="AL66" t="s">
        <v>278</v>
      </c>
      <c r="AM66">
        <v>37119.75</v>
      </c>
      <c r="AN66">
        <v>32065</v>
      </c>
      <c r="AP66" t="s">
        <v>279</v>
      </c>
      <c r="AQ66">
        <v>10007.83</v>
      </c>
      <c r="AR66">
        <v>27551.89</v>
      </c>
      <c r="AT66" t="s">
        <v>279</v>
      </c>
      <c r="AU66">
        <v>10007.83</v>
      </c>
      <c r="AV66">
        <v>27551.89</v>
      </c>
      <c r="AX66" t="s">
        <v>279</v>
      </c>
      <c r="AY66">
        <v>10007.83</v>
      </c>
      <c r="AZ66">
        <v>27551.89</v>
      </c>
      <c r="BB66" t="s">
        <v>279</v>
      </c>
      <c r="BC66">
        <v>10007.83</v>
      </c>
      <c r="BD66">
        <v>23639.89</v>
      </c>
      <c r="BF66" t="s">
        <v>279</v>
      </c>
      <c r="BG66">
        <v>10007.83</v>
      </c>
      <c r="BH66">
        <v>20306.89</v>
      </c>
      <c r="BJ66" t="s">
        <v>279</v>
      </c>
      <c r="BK66">
        <v>9900</v>
      </c>
      <c r="BL66">
        <v>17156.89</v>
      </c>
      <c r="BN66" t="s">
        <v>279</v>
      </c>
      <c r="BO66">
        <v>9936</v>
      </c>
      <c r="BP66">
        <v>13856.89</v>
      </c>
      <c r="BQ66">
        <f t="shared" si="11"/>
        <v>0</v>
      </c>
      <c r="BR66" t="s">
        <v>140</v>
      </c>
      <c r="BS66">
        <v>19783.900000000001</v>
      </c>
      <c r="BT66">
        <v>9414.94</v>
      </c>
      <c r="BV66" t="s">
        <v>140</v>
      </c>
      <c r="BW66">
        <v>19783.900000000001</v>
      </c>
      <c r="BX66">
        <v>9414.94</v>
      </c>
      <c r="BZ66" t="s">
        <v>282</v>
      </c>
      <c r="CA66">
        <v>0</v>
      </c>
      <c r="CB66">
        <v>23.17</v>
      </c>
      <c r="CD66" t="s">
        <v>282</v>
      </c>
      <c r="CE66">
        <v>0</v>
      </c>
      <c r="CF66">
        <v>23.17</v>
      </c>
      <c r="CH66" t="s">
        <v>282</v>
      </c>
      <c r="CI66">
        <v>0</v>
      </c>
      <c r="CJ66">
        <v>23.17</v>
      </c>
    </row>
    <row r="67" spans="1:88" x14ac:dyDescent="0.3">
      <c r="A67" t="s">
        <v>245</v>
      </c>
      <c r="B67" t="s">
        <v>134</v>
      </c>
      <c r="C67" t="s">
        <v>288</v>
      </c>
      <c r="D67">
        <f t="shared" ref="D67:D98" si="16">SUMIFS(H:H,G:G,C67)</f>
        <v>873.43</v>
      </c>
      <c r="E67">
        <f t="shared" ref="E67:E98" si="17">SUMIFS(I:I,G:G,C67)</f>
        <v>1449.84</v>
      </c>
      <c r="F67" s="75">
        <f t="shared" si="10"/>
        <v>0</v>
      </c>
      <c r="G67" t="s">
        <v>278</v>
      </c>
      <c r="H67">
        <v>50321</v>
      </c>
      <c r="I67">
        <v>46344.75</v>
      </c>
      <c r="J67" s="75">
        <f t="shared" si="15"/>
        <v>0</v>
      </c>
      <c r="L67" t="s">
        <v>279</v>
      </c>
      <c r="M67">
        <v>16863.25</v>
      </c>
      <c r="N67">
        <v>45983.89</v>
      </c>
      <c r="P67" t="s">
        <v>279</v>
      </c>
      <c r="Q67">
        <v>16863.25</v>
      </c>
      <c r="R67">
        <v>45983.89</v>
      </c>
      <c r="T67" t="s">
        <v>279</v>
      </c>
      <c r="U67">
        <v>16863.25</v>
      </c>
      <c r="V67">
        <v>45983.89</v>
      </c>
      <c r="X67" t="s">
        <v>279</v>
      </c>
      <c r="Y67">
        <v>16863.25</v>
      </c>
      <c r="Z67">
        <v>45983.89</v>
      </c>
      <c r="AB67" t="s">
        <v>279</v>
      </c>
      <c r="AC67">
        <v>12238.25</v>
      </c>
      <c r="AD67">
        <v>41966.89</v>
      </c>
      <c r="AG67" t="s">
        <v>279</v>
      </c>
      <c r="AH67">
        <v>11706.44</v>
      </c>
      <c r="AI67">
        <v>38216.89</v>
      </c>
      <c r="AL67" t="s">
        <v>279</v>
      </c>
      <c r="AM67">
        <v>11706.44</v>
      </c>
      <c r="AN67">
        <v>34466.89</v>
      </c>
      <c r="AP67" t="s">
        <v>118</v>
      </c>
      <c r="AQ67">
        <v>3014.2</v>
      </c>
      <c r="AR67">
        <v>0</v>
      </c>
      <c r="AT67" t="s">
        <v>118</v>
      </c>
      <c r="AU67">
        <v>3014.2</v>
      </c>
      <c r="AV67">
        <v>0</v>
      </c>
      <c r="AX67" t="s">
        <v>123</v>
      </c>
      <c r="AY67">
        <v>3410.46</v>
      </c>
      <c r="AZ67">
        <v>2957.41</v>
      </c>
      <c r="BB67" t="s">
        <v>123</v>
      </c>
      <c r="BC67">
        <v>3227.58</v>
      </c>
      <c r="BD67">
        <v>2957.41</v>
      </c>
      <c r="BF67" t="s">
        <v>123</v>
      </c>
      <c r="BG67">
        <v>2907.42</v>
      </c>
      <c r="BH67">
        <v>3052.41</v>
      </c>
      <c r="BJ67" t="s">
        <v>123</v>
      </c>
      <c r="BK67">
        <v>1259.96</v>
      </c>
      <c r="BL67">
        <v>0</v>
      </c>
      <c r="BN67" t="s">
        <v>123</v>
      </c>
      <c r="BO67">
        <v>1259.96</v>
      </c>
      <c r="BP67">
        <v>0</v>
      </c>
      <c r="BQ67">
        <f t="shared" si="11"/>
        <v>0</v>
      </c>
      <c r="BR67" t="s">
        <v>489</v>
      </c>
      <c r="BS67">
        <v>618</v>
      </c>
      <c r="BT67">
        <v>0</v>
      </c>
      <c r="BV67" t="s">
        <v>489</v>
      </c>
      <c r="BW67">
        <v>618</v>
      </c>
      <c r="BX67">
        <v>0</v>
      </c>
      <c r="BZ67" t="s">
        <v>120</v>
      </c>
      <c r="CA67">
        <v>0</v>
      </c>
      <c r="CB67">
        <v>600</v>
      </c>
      <c r="CD67" t="s">
        <v>120</v>
      </c>
      <c r="CE67">
        <v>0</v>
      </c>
      <c r="CF67">
        <v>600</v>
      </c>
      <c r="CH67" t="s">
        <v>120</v>
      </c>
      <c r="CI67">
        <v>0</v>
      </c>
      <c r="CJ67">
        <v>600</v>
      </c>
    </row>
    <row r="68" spans="1:88" x14ac:dyDescent="0.3">
      <c r="A68" t="s">
        <v>245</v>
      </c>
      <c r="B68" t="s">
        <v>220</v>
      </c>
      <c r="C68" t="s">
        <v>290</v>
      </c>
      <c r="D68">
        <f t="shared" si="16"/>
        <v>3605</v>
      </c>
      <c r="E68">
        <f t="shared" si="17"/>
        <v>3600</v>
      </c>
      <c r="F68" s="75">
        <f t="shared" si="10"/>
        <v>0</v>
      </c>
      <c r="G68" t="s">
        <v>279</v>
      </c>
      <c r="H68">
        <v>16863.25</v>
      </c>
      <c r="I68">
        <v>45983.89</v>
      </c>
      <c r="J68" s="75">
        <f t="shared" si="15"/>
        <v>0</v>
      </c>
      <c r="L68" t="s">
        <v>285</v>
      </c>
      <c r="M68">
        <v>0</v>
      </c>
      <c r="N68">
        <v>31856</v>
      </c>
      <c r="P68" t="s">
        <v>285</v>
      </c>
      <c r="Q68">
        <v>0</v>
      </c>
      <c r="R68">
        <v>31856</v>
      </c>
      <c r="T68" t="s">
        <v>285</v>
      </c>
      <c r="U68">
        <v>0</v>
      </c>
      <c r="V68">
        <v>31856</v>
      </c>
      <c r="X68" t="s">
        <v>285</v>
      </c>
      <c r="Y68">
        <v>0</v>
      </c>
      <c r="Z68">
        <v>31856</v>
      </c>
      <c r="AB68" t="s">
        <v>285</v>
      </c>
      <c r="AC68">
        <v>0</v>
      </c>
      <c r="AD68">
        <v>26556</v>
      </c>
      <c r="AG68" t="s">
        <v>285</v>
      </c>
      <c r="AH68">
        <v>0</v>
      </c>
      <c r="AI68">
        <v>25311</v>
      </c>
      <c r="AL68" t="s">
        <v>285</v>
      </c>
      <c r="AM68">
        <v>0</v>
      </c>
      <c r="AN68">
        <v>24311</v>
      </c>
      <c r="AP68" t="s">
        <v>123</v>
      </c>
      <c r="AQ68">
        <v>3410.46</v>
      </c>
      <c r="AR68">
        <v>2957.41</v>
      </c>
      <c r="AT68" t="s">
        <v>123</v>
      </c>
      <c r="AU68">
        <v>3410.46</v>
      </c>
      <c r="AV68">
        <v>2957.41</v>
      </c>
      <c r="AX68" t="s">
        <v>280</v>
      </c>
      <c r="AY68">
        <v>15890.16</v>
      </c>
      <c r="AZ68">
        <v>7571.6</v>
      </c>
      <c r="BB68" t="s">
        <v>280</v>
      </c>
      <c r="BC68">
        <v>15166.12</v>
      </c>
      <c r="BD68">
        <v>7571.6</v>
      </c>
      <c r="BF68" t="s">
        <v>280</v>
      </c>
      <c r="BG68">
        <v>14442.08</v>
      </c>
      <c r="BH68">
        <v>7571.6</v>
      </c>
      <c r="BJ68" t="s">
        <v>280</v>
      </c>
      <c r="BK68">
        <v>13568.04</v>
      </c>
      <c r="BL68">
        <v>7571.6</v>
      </c>
      <c r="BN68" t="s">
        <v>280</v>
      </c>
      <c r="BO68">
        <v>12844</v>
      </c>
      <c r="BP68">
        <v>7571.6</v>
      </c>
      <c r="BQ68">
        <f t="shared" si="11"/>
        <v>0</v>
      </c>
      <c r="BR68" t="s">
        <v>283</v>
      </c>
      <c r="BS68">
        <v>1200</v>
      </c>
      <c r="BT68">
        <v>0</v>
      </c>
      <c r="BV68" t="s">
        <v>283</v>
      </c>
      <c r="BW68">
        <v>1200</v>
      </c>
      <c r="BX68">
        <v>0</v>
      </c>
      <c r="BZ68" t="s">
        <v>286</v>
      </c>
      <c r="CA68">
        <v>240</v>
      </c>
      <c r="CB68">
        <v>0</v>
      </c>
      <c r="CD68" t="s">
        <v>286</v>
      </c>
      <c r="CE68">
        <v>240</v>
      </c>
      <c r="CF68">
        <v>0</v>
      </c>
      <c r="CH68" t="s">
        <v>286</v>
      </c>
      <c r="CI68">
        <v>240</v>
      </c>
      <c r="CJ68">
        <v>0</v>
      </c>
    </row>
    <row r="69" spans="1:88" x14ac:dyDescent="0.3">
      <c r="A69" t="s">
        <v>245</v>
      </c>
      <c r="B69" t="s">
        <v>215</v>
      </c>
      <c r="C69" t="s">
        <v>291</v>
      </c>
      <c r="D69">
        <f t="shared" si="16"/>
        <v>7842.2</v>
      </c>
      <c r="E69">
        <f t="shared" si="17"/>
        <v>5492.92</v>
      </c>
      <c r="F69" s="75">
        <f t="shared" si="10"/>
        <v>0</v>
      </c>
      <c r="G69" t="s">
        <v>285</v>
      </c>
      <c r="H69">
        <v>0</v>
      </c>
      <c r="I69">
        <v>31856</v>
      </c>
      <c r="J69" s="75">
        <f t="shared" si="15"/>
        <v>0</v>
      </c>
      <c r="L69" t="s">
        <v>118</v>
      </c>
      <c r="M69">
        <v>14123.68</v>
      </c>
      <c r="N69">
        <v>6781.94</v>
      </c>
      <c r="P69" t="s">
        <v>118</v>
      </c>
      <c r="Q69">
        <v>14123.68</v>
      </c>
      <c r="R69">
        <v>6781.94</v>
      </c>
      <c r="T69" t="s">
        <v>118</v>
      </c>
      <c r="U69">
        <v>14123.68</v>
      </c>
      <c r="V69">
        <v>6781.94</v>
      </c>
      <c r="X69" t="s">
        <v>118</v>
      </c>
      <c r="Y69">
        <v>14123.68</v>
      </c>
      <c r="Z69">
        <v>6781.94</v>
      </c>
      <c r="AB69" t="s">
        <v>118</v>
      </c>
      <c r="AC69">
        <v>8159.87</v>
      </c>
      <c r="AD69">
        <v>6781.94</v>
      </c>
      <c r="AG69" t="s">
        <v>118</v>
      </c>
      <c r="AH69">
        <v>8159.87</v>
      </c>
      <c r="AI69">
        <v>0</v>
      </c>
      <c r="AL69" t="s">
        <v>118</v>
      </c>
      <c r="AM69">
        <v>3014.2</v>
      </c>
      <c r="AN69">
        <v>0</v>
      </c>
      <c r="AP69" t="s">
        <v>280</v>
      </c>
      <c r="AQ69">
        <v>15890.16</v>
      </c>
      <c r="AR69">
        <v>7571.6</v>
      </c>
      <c r="AT69" t="s">
        <v>280</v>
      </c>
      <c r="AU69">
        <v>15890.16</v>
      </c>
      <c r="AV69">
        <v>7571.6</v>
      </c>
      <c r="AX69" t="s">
        <v>140</v>
      </c>
      <c r="AY69">
        <v>63327.22</v>
      </c>
      <c r="AZ69">
        <v>36514.93</v>
      </c>
      <c r="BB69" t="s">
        <v>140</v>
      </c>
      <c r="BC69">
        <v>51866.11</v>
      </c>
      <c r="BD69">
        <v>30839.35</v>
      </c>
      <c r="BF69" t="s">
        <v>140</v>
      </c>
      <c r="BG69">
        <v>48778.3</v>
      </c>
      <c r="BH69">
        <v>22137.85</v>
      </c>
      <c r="BJ69" t="s">
        <v>140</v>
      </c>
      <c r="BK69">
        <v>42403.95</v>
      </c>
      <c r="BL69">
        <v>19331.349999999999</v>
      </c>
      <c r="BN69" t="s">
        <v>140</v>
      </c>
      <c r="BO69">
        <v>25079.96</v>
      </c>
      <c r="BP69">
        <v>16082.42</v>
      </c>
      <c r="BQ69">
        <f t="shared" si="11"/>
        <v>0</v>
      </c>
      <c r="BR69" t="s">
        <v>281</v>
      </c>
      <c r="BS69">
        <v>3900</v>
      </c>
      <c r="BT69">
        <v>0</v>
      </c>
      <c r="BV69" t="s">
        <v>281</v>
      </c>
      <c r="BW69">
        <v>3900</v>
      </c>
      <c r="BX69">
        <v>0</v>
      </c>
      <c r="BZ69" t="s">
        <v>131</v>
      </c>
      <c r="CA69">
        <v>4000</v>
      </c>
      <c r="CB69">
        <v>0</v>
      </c>
      <c r="CD69" t="s">
        <v>131</v>
      </c>
      <c r="CE69">
        <v>4000</v>
      </c>
      <c r="CF69">
        <v>0</v>
      </c>
      <c r="CH69" t="s">
        <v>131</v>
      </c>
      <c r="CI69">
        <v>4000</v>
      </c>
      <c r="CJ69">
        <v>0</v>
      </c>
    </row>
    <row r="70" spans="1:88" x14ac:dyDescent="0.3">
      <c r="A70" t="s">
        <v>9</v>
      </c>
      <c r="B70" t="s">
        <v>292</v>
      </c>
      <c r="D70">
        <f t="shared" si="16"/>
        <v>0</v>
      </c>
      <c r="E70">
        <f t="shared" si="17"/>
        <v>0</v>
      </c>
      <c r="F70" s="75">
        <f t="shared" ref="F70:F101" si="18">SUMIFS(D:D,C:C,G70)-H70</f>
        <v>0</v>
      </c>
      <c r="G70" t="s">
        <v>118</v>
      </c>
      <c r="H70">
        <v>14123.68</v>
      </c>
      <c r="I70">
        <v>6781.94</v>
      </c>
      <c r="J70" s="75">
        <f t="shared" si="15"/>
        <v>0</v>
      </c>
      <c r="L70" t="s">
        <v>123</v>
      </c>
      <c r="M70">
        <v>3473.83</v>
      </c>
      <c r="N70">
        <v>6569.75</v>
      </c>
      <c r="P70" t="s">
        <v>123</v>
      </c>
      <c r="Q70">
        <v>3410.46</v>
      </c>
      <c r="R70">
        <v>6569.75</v>
      </c>
      <c r="T70" t="s">
        <v>123</v>
      </c>
      <c r="U70">
        <v>3410.46</v>
      </c>
      <c r="V70">
        <v>6569.75</v>
      </c>
      <c r="X70" t="s">
        <v>123</v>
      </c>
      <c r="Y70">
        <v>3410.46</v>
      </c>
      <c r="Z70">
        <v>6569.75</v>
      </c>
      <c r="AB70" t="s">
        <v>123</v>
      </c>
      <c r="AC70">
        <v>3410.46</v>
      </c>
      <c r="AD70">
        <v>5124.67</v>
      </c>
      <c r="AG70" t="s">
        <v>123</v>
      </c>
      <c r="AH70">
        <v>3410.46</v>
      </c>
      <c r="AI70">
        <v>5012.6899999999996</v>
      </c>
      <c r="AL70" t="s">
        <v>123</v>
      </c>
      <c r="AM70">
        <v>3410.46</v>
      </c>
      <c r="AN70">
        <v>4512.6899999999996</v>
      </c>
      <c r="AP70" t="s">
        <v>140</v>
      </c>
      <c r="AQ70">
        <v>63327.22</v>
      </c>
      <c r="AR70">
        <v>36514.93</v>
      </c>
      <c r="AT70" t="s">
        <v>140</v>
      </c>
      <c r="AU70">
        <v>63327.22</v>
      </c>
      <c r="AV70">
        <v>36514.93</v>
      </c>
      <c r="AX70" t="s">
        <v>489</v>
      </c>
      <c r="AY70">
        <v>724</v>
      </c>
      <c r="AZ70">
        <v>0</v>
      </c>
      <c r="BB70" t="s">
        <v>489</v>
      </c>
      <c r="BC70">
        <v>724</v>
      </c>
      <c r="BD70">
        <v>0</v>
      </c>
      <c r="BF70" t="s">
        <v>489</v>
      </c>
      <c r="BG70">
        <v>724</v>
      </c>
      <c r="BH70">
        <v>0</v>
      </c>
      <c r="BJ70" t="s">
        <v>489</v>
      </c>
      <c r="BK70">
        <v>634</v>
      </c>
      <c r="BL70">
        <v>0</v>
      </c>
      <c r="BN70" t="s">
        <v>489</v>
      </c>
      <c r="BO70">
        <v>634</v>
      </c>
      <c r="BP70">
        <v>0</v>
      </c>
      <c r="BQ70">
        <f t="shared" ref="BQ70:BQ101" si="19">SUMIFS(E:E,C:C,G70)-I70</f>
        <v>0</v>
      </c>
      <c r="BR70" t="s">
        <v>137</v>
      </c>
      <c r="BS70">
        <v>14000</v>
      </c>
      <c r="BT70">
        <v>4457.8</v>
      </c>
      <c r="BV70" t="s">
        <v>137</v>
      </c>
      <c r="BW70">
        <v>14000</v>
      </c>
      <c r="BX70">
        <v>4457.8</v>
      </c>
      <c r="BZ70" t="s">
        <v>141</v>
      </c>
      <c r="CA70">
        <v>0</v>
      </c>
      <c r="CB70">
        <v>5000</v>
      </c>
      <c r="CD70" t="s">
        <v>141</v>
      </c>
      <c r="CE70">
        <v>0</v>
      </c>
      <c r="CF70">
        <v>5000</v>
      </c>
      <c r="CH70" t="s">
        <v>141</v>
      </c>
      <c r="CI70">
        <v>0</v>
      </c>
      <c r="CJ70">
        <v>5000</v>
      </c>
    </row>
    <row r="71" spans="1:88" x14ac:dyDescent="0.3">
      <c r="A71" t="s">
        <v>9</v>
      </c>
      <c r="B71" t="s">
        <v>293</v>
      </c>
      <c r="D71">
        <f t="shared" si="16"/>
        <v>0</v>
      </c>
      <c r="E71">
        <f t="shared" si="17"/>
        <v>0</v>
      </c>
      <c r="F71" s="75">
        <f t="shared" si="18"/>
        <v>0</v>
      </c>
      <c r="G71" t="s">
        <v>123</v>
      </c>
      <c r="H71">
        <v>3473.83</v>
      </c>
      <c r="I71">
        <v>6569.75</v>
      </c>
      <c r="J71" s="75">
        <f t="shared" si="15"/>
        <v>0</v>
      </c>
      <c r="L71" t="s">
        <v>280</v>
      </c>
      <c r="M71">
        <v>18786.32</v>
      </c>
      <c r="N71">
        <v>41424.22</v>
      </c>
      <c r="P71" t="s">
        <v>280</v>
      </c>
      <c r="Q71">
        <v>18786.32</v>
      </c>
      <c r="R71">
        <v>41424.22</v>
      </c>
      <c r="T71" t="s">
        <v>280</v>
      </c>
      <c r="U71">
        <v>18786.32</v>
      </c>
      <c r="V71">
        <v>41424.22</v>
      </c>
      <c r="X71" t="s">
        <v>280</v>
      </c>
      <c r="Y71">
        <v>18786.32</v>
      </c>
      <c r="Z71">
        <v>41424.22</v>
      </c>
      <c r="AB71" t="s">
        <v>280</v>
      </c>
      <c r="AC71">
        <v>18062.28</v>
      </c>
      <c r="AD71">
        <v>37030.22</v>
      </c>
      <c r="AG71" t="s">
        <v>280</v>
      </c>
      <c r="AH71">
        <v>17338.240000000002</v>
      </c>
      <c r="AI71">
        <v>32376.22</v>
      </c>
      <c r="AL71" t="s">
        <v>280</v>
      </c>
      <c r="AM71">
        <v>16614.2</v>
      </c>
      <c r="AN71">
        <v>28761.33</v>
      </c>
      <c r="AP71" t="s">
        <v>489</v>
      </c>
      <c r="AQ71">
        <v>724</v>
      </c>
      <c r="AR71">
        <v>0</v>
      </c>
      <c r="AT71" t="s">
        <v>489</v>
      </c>
      <c r="AU71">
        <v>724</v>
      </c>
      <c r="AV71">
        <v>0</v>
      </c>
      <c r="AX71" t="s">
        <v>283</v>
      </c>
      <c r="AY71">
        <v>5700</v>
      </c>
      <c r="AZ71">
        <v>8482.7999999999993</v>
      </c>
      <c r="BB71" t="s">
        <v>283</v>
      </c>
      <c r="BC71">
        <v>5700</v>
      </c>
      <c r="BD71">
        <v>3029.8</v>
      </c>
      <c r="BF71" t="s">
        <v>283</v>
      </c>
      <c r="BG71">
        <v>4700</v>
      </c>
      <c r="BH71">
        <v>0</v>
      </c>
      <c r="BJ71" t="s">
        <v>283</v>
      </c>
      <c r="BK71">
        <v>4700</v>
      </c>
      <c r="BL71">
        <v>0</v>
      </c>
      <c r="BN71" t="s">
        <v>283</v>
      </c>
      <c r="BO71">
        <v>2400</v>
      </c>
      <c r="BP71">
        <v>0</v>
      </c>
      <c r="BQ71">
        <f t="shared" si="19"/>
        <v>0</v>
      </c>
      <c r="BR71" t="s">
        <v>291</v>
      </c>
      <c r="BS71">
        <v>1023.52</v>
      </c>
      <c r="BT71">
        <v>600</v>
      </c>
      <c r="BV71" t="s">
        <v>291</v>
      </c>
      <c r="BW71">
        <v>1023.52</v>
      </c>
      <c r="BX71">
        <v>600</v>
      </c>
      <c r="BZ71" t="s">
        <v>368</v>
      </c>
      <c r="CA71">
        <v>40260.080000000002</v>
      </c>
      <c r="CB71">
        <v>86607.93</v>
      </c>
      <c r="CD71" t="s">
        <v>368</v>
      </c>
      <c r="CE71">
        <v>39369.08</v>
      </c>
      <c r="CF71">
        <v>86607.93</v>
      </c>
      <c r="CH71" t="s">
        <v>368</v>
      </c>
      <c r="CI71">
        <v>38740.9</v>
      </c>
      <c r="CJ71">
        <v>86607.93</v>
      </c>
    </row>
    <row r="72" spans="1:88" x14ac:dyDescent="0.3">
      <c r="A72" t="s">
        <v>9</v>
      </c>
      <c r="B72" t="s">
        <v>294</v>
      </c>
      <c r="D72">
        <f t="shared" si="16"/>
        <v>0</v>
      </c>
      <c r="E72">
        <f t="shared" si="17"/>
        <v>0</v>
      </c>
      <c r="F72" s="75">
        <f t="shared" si="18"/>
        <v>0</v>
      </c>
      <c r="G72" t="s">
        <v>280</v>
      </c>
      <c r="H72">
        <v>18786.32</v>
      </c>
      <c r="I72">
        <v>41424.22</v>
      </c>
      <c r="J72" s="75">
        <f t="shared" si="15"/>
        <v>0</v>
      </c>
      <c r="L72" t="s">
        <v>140</v>
      </c>
      <c r="M72">
        <v>82863.87</v>
      </c>
      <c r="N72">
        <v>45438.02</v>
      </c>
      <c r="P72" t="s">
        <v>140</v>
      </c>
      <c r="Q72">
        <v>80971.94</v>
      </c>
      <c r="R72">
        <v>45438.02</v>
      </c>
      <c r="T72" t="s">
        <v>140</v>
      </c>
      <c r="U72">
        <v>80971.94</v>
      </c>
      <c r="V72">
        <v>45438.02</v>
      </c>
      <c r="X72" t="s">
        <v>140</v>
      </c>
      <c r="Y72">
        <v>80971.94</v>
      </c>
      <c r="Z72">
        <v>45438.02</v>
      </c>
      <c r="AB72" t="s">
        <v>140</v>
      </c>
      <c r="AC72">
        <v>78342.94</v>
      </c>
      <c r="AD72">
        <v>41559.480000000003</v>
      </c>
      <c r="AG72" t="s">
        <v>140</v>
      </c>
      <c r="AH72">
        <v>75603.98</v>
      </c>
      <c r="AI72">
        <v>38460.19</v>
      </c>
      <c r="AL72" t="s">
        <v>140</v>
      </c>
      <c r="AM72">
        <v>68161.2</v>
      </c>
      <c r="AN72">
        <v>37278.44</v>
      </c>
      <c r="AP72" t="s">
        <v>283</v>
      </c>
      <c r="AQ72">
        <v>5700</v>
      </c>
      <c r="AR72">
        <v>8482.7999999999993</v>
      </c>
      <c r="AT72" t="s">
        <v>283</v>
      </c>
      <c r="AU72">
        <v>5700</v>
      </c>
      <c r="AV72">
        <v>8482.7999999999993</v>
      </c>
      <c r="AX72" t="s">
        <v>284</v>
      </c>
      <c r="AY72">
        <v>0</v>
      </c>
      <c r="AZ72">
        <v>968</v>
      </c>
      <c r="BB72" t="s">
        <v>284</v>
      </c>
      <c r="BC72">
        <v>0</v>
      </c>
      <c r="BD72">
        <v>968</v>
      </c>
      <c r="BF72" t="s">
        <v>284</v>
      </c>
      <c r="BG72">
        <v>0</v>
      </c>
      <c r="BH72">
        <v>410</v>
      </c>
      <c r="BJ72" t="s">
        <v>281</v>
      </c>
      <c r="BK72">
        <v>6050</v>
      </c>
      <c r="BL72">
        <v>8500</v>
      </c>
      <c r="BN72" t="s">
        <v>281</v>
      </c>
      <c r="BO72">
        <v>5400</v>
      </c>
      <c r="BP72">
        <v>7000</v>
      </c>
      <c r="BQ72">
        <f t="shared" si="19"/>
        <v>0</v>
      </c>
      <c r="BR72" t="s">
        <v>282</v>
      </c>
      <c r="BS72">
        <v>72</v>
      </c>
      <c r="BT72">
        <v>89.68</v>
      </c>
      <c r="BV72" t="s">
        <v>282</v>
      </c>
      <c r="BW72">
        <v>72</v>
      </c>
      <c r="BX72">
        <v>89.68</v>
      </c>
      <c r="BZ72" t="s">
        <v>369</v>
      </c>
      <c r="CD72" t="s">
        <v>369</v>
      </c>
      <c r="CH72" t="s">
        <v>369</v>
      </c>
    </row>
    <row r="73" spans="1:88" x14ac:dyDescent="0.3">
      <c r="A73" t="s">
        <v>9</v>
      </c>
      <c r="B73" t="s">
        <v>295</v>
      </c>
      <c r="D73">
        <f t="shared" si="16"/>
        <v>0</v>
      </c>
      <c r="E73">
        <f t="shared" si="17"/>
        <v>0</v>
      </c>
      <c r="F73" s="75">
        <f t="shared" si="18"/>
        <v>0</v>
      </c>
      <c r="G73" t="s">
        <v>140</v>
      </c>
      <c r="H73">
        <v>83155.47</v>
      </c>
      <c r="I73">
        <v>45438.02</v>
      </c>
      <c r="J73" s="75">
        <f t="shared" si="15"/>
        <v>0</v>
      </c>
      <c r="L73" t="s">
        <v>489</v>
      </c>
      <c r="M73">
        <v>1222.44</v>
      </c>
      <c r="N73">
        <v>0</v>
      </c>
      <c r="P73" t="s">
        <v>489</v>
      </c>
      <c r="Q73">
        <v>1222.44</v>
      </c>
      <c r="R73">
        <v>0</v>
      </c>
      <c r="T73" t="s">
        <v>489</v>
      </c>
      <c r="U73">
        <v>1222.44</v>
      </c>
      <c r="V73">
        <v>0</v>
      </c>
      <c r="X73" t="s">
        <v>489</v>
      </c>
      <c r="Y73">
        <v>1222.44</v>
      </c>
      <c r="Z73">
        <v>0</v>
      </c>
      <c r="AB73" t="s">
        <v>489</v>
      </c>
      <c r="AC73">
        <v>952.62</v>
      </c>
      <c r="AD73">
        <v>0</v>
      </c>
      <c r="AG73" t="s">
        <v>489</v>
      </c>
      <c r="AH73">
        <v>952.62</v>
      </c>
      <c r="AI73">
        <v>0</v>
      </c>
      <c r="AL73" t="s">
        <v>489</v>
      </c>
      <c r="AM73">
        <v>952.62</v>
      </c>
      <c r="AN73">
        <v>0</v>
      </c>
      <c r="AP73" t="s">
        <v>284</v>
      </c>
      <c r="AQ73">
        <v>0</v>
      </c>
      <c r="AR73">
        <v>968</v>
      </c>
      <c r="AT73" t="s">
        <v>284</v>
      </c>
      <c r="AU73">
        <v>0</v>
      </c>
      <c r="AV73">
        <v>968</v>
      </c>
      <c r="AX73" t="s">
        <v>281</v>
      </c>
      <c r="AY73">
        <v>15085.6</v>
      </c>
      <c r="AZ73">
        <v>11500</v>
      </c>
      <c r="BB73" t="s">
        <v>281</v>
      </c>
      <c r="BC73">
        <v>6050</v>
      </c>
      <c r="BD73">
        <v>11500</v>
      </c>
      <c r="BF73" t="s">
        <v>281</v>
      </c>
      <c r="BG73">
        <v>6050</v>
      </c>
      <c r="BH73">
        <v>8500</v>
      </c>
      <c r="BJ73" t="s">
        <v>137</v>
      </c>
      <c r="BK73">
        <v>15880</v>
      </c>
      <c r="BL73">
        <v>8880.52</v>
      </c>
      <c r="BN73" t="s">
        <v>137</v>
      </c>
      <c r="BO73">
        <v>15880</v>
      </c>
      <c r="BP73">
        <v>6519.82</v>
      </c>
      <c r="BQ73">
        <f t="shared" si="19"/>
        <v>0</v>
      </c>
      <c r="BR73" t="s">
        <v>120</v>
      </c>
      <c r="BS73">
        <v>825</v>
      </c>
      <c r="BT73">
        <v>1318</v>
      </c>
      <c r="BV73" t="s">
        <v>120</v>
      </c>
      <c r="BW73">
        <v>825</v>
      </c>
      <c r="BX73">
        <v>1318</v>
      </c>
      <c r="BZ73" t="s">
        <v>370</v>
      </c>
      <c r="CD73" t="s">
        <v>370</v>
      </c>
      <c r="CH73" t="s">
        <v>370</v>
      </c>
    </row>
    <row r="74" spans="1:88" x14ac:dyDescent="0.3">
      <c r="A74" t="s">
        <v>253</v>
      </c>
      <c r="B74" t="s">
        <v>26</v>
      </c>
      <c r="C74" t="s">
        <v>296</v>
      </c>
      <c r="D74">
        <f t="shared" si="16"/>
        <v>8600</v>
      </c>
      <c r="E74">
        <f t="shared" si="17"/>
        <v>9500</v>
      </c>
      <c r="F74" s="75">
        <f t="shared" si="18"/>
        <v>0</v>
      </c>
      <c r="G74" t="s">
        <v>489</v>
      </c>
      <c r="H74">
        <v>2747.95</v>
      </c>
      <c r="I74">
        <v>0</v>
      </c>
      <c r="J74" s="75">
        <f t="shared" si="15"/>
        <v>0</v>
      </c>
      <c r="L74" t="s">
        <v>283</v>
      </c>
      <c r="M74">
        <v>14969.42</v>
      </c>
      <c r="N74">
        <v>14272.8</v>
      </c>
      <c r="P74" t="s">
        <v>283</v>
      </c>
      <c r="Q74">
        <v>14969.42</v>
      </c>
      <c r="R74">
        <v>14272.8</v>
      </c>
      <c r="T74" t="s">
        <v>283</v>
      </c>
      <c r="U74">
        <v>14969.42</v>
      </c>
      <c r="V74">
        <v>14272.8</v>
      </c>
      <c r="X74" t="s">
        <v>283</v>
      </c>
      <c r="Y74">
        <v>14969.42</v>
      </c>
      <c r="Z74">
        <v>14272.8</v>
      </c>
      <c r="AB74" t="s">
        <v>283</v>
      </c>
      <c r="AC74">
        <v>11017.1</v>
      </c>
      <c r="AD74">
        <v>14272.8</v>
      </c>
      <c r="AG74" t="s">
        <v>283</v>
      </c>
      <c r="AH74">
        <v>11017.1</v>
      </c>
      <c r="AI74">
        <v>14272.8</v>
      </c>
      <c r="AL74" t="s">
        <v>283</v>
      </c>
      <c r="AM74">
        <v>9817.1</v>
      </c>
      <c r="AN74">
        <v>13922.8</v>
      </c>
      <c r="AP74" t="s">
        <v>281</v>
      </c>
      <c r="AQ74">
        <v>15085.6</v>
      </c>
      <c r="AR74">
        <v>11500</v>
      </c>
      <c r="AT74" t="s">
        <v>281</v>
      </c>
      <c r="AU74">
        <v>15085.6</v>
      </c>
      <c r="AV74">
        <v>11500</v>
      </c>
      <c r="AX74" t="s">
        <v>137</v>
      </c>
      <c r="AY74">
        <v>20964.419999999998</v>
      </c>
      <c r="AZ74">
        <v>14481.4</v>
      </c>
      <c r="BB74" t="s">
        <v>137</v>
      </c>
      <c r="BC74">
        <v>20005</v>
      </c>
      <c r="BD74">
        <v>13341.4</v>
      </c>
      <c r="BF74" t="s">
        <v>137</v>
      </c>
      <c r="BG74">
        <v>20005</v>
      </c>
      <c r="BH74">
        <v>12550.52</v>
      </c>
      <c r="BJ74" t="s">
        <v>291</v>
      </c>
      <c r="BK74">
        <v>1115.5</v>
      </c>
      <c r="BL74">
        <v>900</v>
      </c>
      <c r="BN74" t="s">
        <v>291</v>
      </c>
      <c r="BO74">
        <v>1069.51</v>
      </c>
      <c r="BP74">
        <v>600</v>
      </c>
      <c r="BQ74">
        <f t="shared" si="19"/>
        <v>0</v>
      </c>
      <c r="BR74" t="s">
        <v>286</v>
      </c>
      <c r="BS74">
        <v>1096.76</v>
      </c>
      <c r="BT74">
        <v>2767.96</v>
      </c>
      <c r="BV74" t="s">
        <v>286</v>
      </c>
      <c r="BW74">
        <v>1096.76</v>
      </c>
      <c r="BX74">
        <v>2767.96</v>
      </c>
      <c r="BZ74" t="s">
        <v>371</v>
      </c>
      <c r="CA74">
        <v>2000</v>
      </c>
      <c r="CB74">
        <v>0</v>
      </c>
      <c r="CD74" t="s">
        <v>371</v>
      </c>
      <c r="CE74">
        <v>2000</v>
      </c>
      <c r="CF74">
        <v>0</v>
      </c>
      <c r="CH74" t="s">
        <v>371</v>
      </c>
      <c r="CI74">
        <v>2000</v>
      </c>
      <c r="CJ74">
        <v>0</v>
      </c>
    </row>
    <row r="75" spans="1:88" x14ac:dyDescent="0.3">
      <c r="A75" t="s">
        <v>253</v>
      </c>
      <c r="B75" t="s">
        <v>27</v>
      </c>
      <c r="C75" t="s">
        <v>27</v>
      </c>
      <c r="D75">
        <f t="shared" si="16"/>
        <v>0</v>
      </c>
      <c r="E75">
        <f t="shared" si="17"/>
        <v>30000</v>
      </c>
      <c r="F75" s="75">
        <f t="shared" si="18"/>
        <v>0</v>
      </c>
      <c r="G75" t="s">
        <v>283</v>
      </c>
      <c r="H75">
        <v>14969.42</v>
      </c>
      <c r="I75">
        <v>14272.8</v>
      </c>
      <c r="J75" s="75">
        <f t="shared" si="15"/>
        <v>0</v>
      </c>
      <c r="L75" t="s">
        <v>284</v>
      </c>
      <c r="M75">
        <v>0</v>
      </c>
      <c r="N75">
        <v>2690.35</v>
      </c>
      <c r="P75" t="s">
        <v>284</v>
      </c>
      <c r="Q75">
        <v>0</v>
      </c>
      <c r="R75">
        <v>2690.35</v>
      </c>
      <c r="T75" t="s">
        <v>284</v>
      </c>
      <c r="U75">
        <v>0</v>
      </c>
      <c r="V75">
        <v>2690.35</v>
      </c>
      <c r="X75" t="s">
        <v>284</v>
      </c>
      <c r="Y75">
        <v>0</v>
      </c>
      <c r="Z75">
        <v>2690.35</v>
      </c>
      <c r="AB75" t="s">
        <v>284</v>
      </c>
      <c r="AC75">
        <v>0</v>
      </c>
      <c r="AD75">
        <v>2690.35</v>
      </c>
      <c r="AG75" t="s">
        <v>284</v>
      </c>
      <c r="AH75">
        <v>0</v>
      </c>
      <c r="AI75">
        <v>2347</v>
      </c>
      <c r="AL75" t="s">
        <v>284</v>
      </c>
      <c r="AM75">
        <v>0</v>
      </c>
      <c r="AN75">
        <v>2347</v>
      </c>
      <c r="AP75" t="s">
        <v>137</v>
      </c>
      <c r="AQ75">
        <v>21192.42</v>
      </c>
      <c r="AR75">
        <v>14481.4</v>
      </c>
      <c r="AT75" t="s">
        <v>137</v>
      </c>
      <c r="AU75">
        <v>21192.42</v>
      </c>
      <c r="AV75">
        <v>14481.4</v>
      </c>
      <c r="AX75" t="s">
        <v>291</v>
      </c>
      <c r="AY75">
        <v>4462.2</v>
      </c>
      <c r="AZ75">
        <v>3687.97</v>
      </c>
      <c r="BB75" t="s">
        <v>291</v>
      </c>
      <c r="BC75">
        <v>4292.2</v>
      </c>
      <c r="BD75">
        <v>2041.98</v>
      </c>
      <c r="BF75" t="s">
        <v>291</v>
      </c>
      <c r="BG75">
        <v>3672.2</v>
      </c>
      <c r="BH75">
        <v>1370.99</v>
      </c>
      <c r="BJ75" t="s">
        <v>290</v>
      </c>
      <c r="BK75">
        <v>0</v>
      </c>
      <c r="BL75">
        <v>3600</v>
      </c>
      <c r="BN75" t="s">
        <v>282</v>
      </c>
      <c r="BO75">
        <v>4383</v>
      </c>
      <c r="BP75">
        <v>89.68</v>
      </c>
      <c r="BQ75">
        <f t="shared" si="19"/>
        <v>0</v>
      </c>
      <c r="BR75" t="s">
        <v>287</v>
      </c>
      <c r="BS75">
        <v>1500</v>
      </c>
      <c r="BT75">
        <v>0</v>
      </c>
      <c r="BV75" t="s">
        <v>287</v>
      </c>
      <c r="BW75">
        <v>1500</v>
      </c>
      <c r="BX75">
        <v>0</v>
      </c>
      <c r="BZ75" t="s">
        <v>372</v>
      </c>
      <c r="CA75">
        <v>0</v>
      </c>
      <c r="CB75">
        <v>2000</v>
      </c>
      <c r="CD75" t="s">
        <v>372</v>
      </c>
      <c r="CE75">
        <v>0</v>
      </c>
      <c r="CF75">
        <v>2000</v>
      </c>
      <c r="CH75" t="s">
        <v>372</v>
      </c>
      <c r="CI75">
        <v>0</v>
      </c>
      <c r="CJ75">
        <v>2000</v>
      </c>
    </row>
    <row r="76" spans="1:88" x14ac:dyDescent="0.3">
      <c r="A76" t="s">
        <v>297</v>
      </c>
      <c r="B76" t="s">
        <v>71</v>
      </c>
      <c r="C76" t="s">
        <v>298</v>
      </c>
      <c r="D76">
        <f t="shared" si="16"/>
        <v>53011.86</v>
      </c>
      <c r="E76">
        <f t="shared" si="17"/>
        <v>42750.73</v>
      </c>
      <c r="F76" s="75">
        <f t="shared" si="18"/>
        <v>0</v>
      </c>
      <c r="G76" t="s">
        <v>284</v>
      </c>
      <c r="H76">
        <v>0</v>
      </c>
      <c r="I76">
        <v>2690.35</v>
      </c>
      <c r="J76" s="75">
        <f t="shared" si="15"/>
        <v>0</v>
      </c>
      <c r="L76" t="s">
        <v>281</v>
      </c>
      <c r="M76">
        <v>44693.37</v>
      </c>
      <c r="N76">
        <v>21000</v>
      </c>
      <c r="P76" t="s">
        <v>281</v>
      </c>
      <c r="Q76">
        <v>44693.37</v>
      </c>
      <c r="R76">
        <v>21000</v>
      </c>
      <c r="T76" t="s">
        <v>281</v>
      </c>
      <c r="U76">
        <v>44693.37</v>
      </c>
      <c r="V76">
        <v>21000</v>
      </c>
      <c r="X76" t="s">
        <v>281</v>
      </c>
      <c r="Y76">
        <v>44693.37</v>
      </c>
      <c r="Z76">
        <v>21000</v>
      </c>
      <c r="AB76" t="s">
        <v>281</v>
      </c>
      <c r="AC76">
        <v>39193.370000000003</v>
      </c>
      <c r="AD76">
        <v>18000</v>
      </c>
      <c r="AG76" t="s">
        <v>281</v>
      </c>
      <c r="AH76">
        <v>27844.880000000001</v>
      </c>
      <c r="AI76">
        <v>16700</v>
      </c>
      <c r="AL76" t="s">
        <v>281</v>
      </c>
      <c r="AM76">
        <v>19853.650000000001</v>
      </c>
      <c r="AN76">
        <v>15000</v>
      </c>
      <c r="AP76" t="s">
        <v>291</v>
      </c>
      <c r="AQ76">
        <v>4462.2</v>
      </c>
      <c r="AR76">
        <v>3687.97</v>
      </c>
      <c r="AT76" t="s">
        <v>291</v>
      </c>
      <c r="AU76">
        <v>4462.2</v>
      </c>
      <c r="AV76">
        <v>3687.97</v>
      </c>
      <c r="AX76" t="s">
        <v>290</v>
      </c>
      <c r="AY76">
        <v>3605</v>
      </c>
      <c r="AZ76">
        <v>3600</v>
      </c>
      <c r="BB76" t="s">
        <v>290</v>
      </c>
      <c r="BC76">
        <v>3605</v>
      </c>
      <c r="BD76">
        <v>3600</v>
      </c>
      <c r="BF76" t="s">
        <v>290</v>
      </c>
      <c r="BG76">
        <v>3605</v>
      </c>
      <c r="BH76">
        <v>3600</v>
      </c>
      <c r="BJ76" t="s">
        <v>282</v>
      </c>
      <c r="BK76">
        <v>144</v>
      </c>
      <c r="BL76">
        <v>289.68</v>
      </c>
      <c r="BN76" t="s">
        <v>120</v>
      </c>
      <c r="BO76">
        <v>2207.5</v>
      </c>
      <c r="BP76">
        <v>1681</v>
      </c>
      <c r="BQ76">
        <f t="shared" si="19"/>
        <v>0</v>
      </c>
      <c r="BR76" t="s">
        <v>131</v>
      </c>
      <c r="BS76">
        <v>12000</v>
      </c>
      <c r="BT76">
        <v>11500</v>
      </c>
      <c r="BV76" t="s">
        <v>131</v>
      </c>
      <c r="BW76">
        <v>12000</v>
      </c>
      <c r="BX76">
        <v>11500</v>
      </c>
      <c r="BZ76" t="s">
        <v>296</v>
      </c>
      <c r="CA76">
        <v>2000</v>
      </c>
      <c r="CB76">
        <v>2000</v>
      </c>
      <c r="CD76" t="s">
        <v>296</v>
      </c>
      <c r="CE76">
        <v>2000</v>
      </c>
      <c r="CF76">
        <v>2000</v>
      </c>
      <c r="CH76" t="s">
        <v>296</v>
      </c>
      <c r="CI76">
        <v>2000</v>
      </c>
      <c r="CJ76">
        <v>2000</v>
      </c>
    </row>
    <row r="77" spans="1:88" x14ac:dyDescent="0.3">
      <c r="A77" t="s">
        <v>297</v>
      </c>
      <c r="B77" t="s">
        <v>70</v>
      </c>
      <c r="C77" t="s">
        <v>299</v>
      </c>
      <c r="D77">
        <f t="shared" si="16"/>
        <v>5175.3999999999996</v>
      </c>
      <c r="E77">
        <f t="shared" si="17"/>
        <v>2750</v>
      </c>
      <c r="F77" s="75">
        <f t="shared" si="18"/>
        <v>0</v>
      </c>
      <c r="G77" t="s">
        <v>281</v>
      </c>
      <c r="H77">
        <v>44693.37</v>
      </c>
      <c r="I77">
        <v>21000</v>
      </c>
      <c r="J77" s="75">
        <f t="shared" si="15"/>
        <v>0</v>
      </c>
      <c r="L77" t="s">
        <v>137</v>
      </c>
      <c r="M77">
        <v>24994.6</v>
      </c>
      <c r="N77">
        <v>15871.4</v>
      </c>
      <c r="P77" t="s">
        <v>137</v>
      </c>
      <c r="Q77">
        <v>24994.6</v>
      </c>
      <c r="R77">
        <v>15871.4</v>
      </c>
      <c r="T77" t="s">
        <v>137</v>
      </c>
      <c r="U77">
        <v>24994.6</v>
      </c>
      <c r="V77">
        <v>15871.4</v>
      </c>
      <c r="X77" t="s">
        <v>137</v>
      </c>
      <c r="Y77">
        <v>24994.6</v>
      </c>
      <c r="Z77">
        <v>15871.4</v>
      </c>
      <c r="AB77" t="s">
        <v>137</v>
      </c>
      <c r="AC77">
        <v>24994.6</v>
      </c>
      <c r="AD77">
        <v>15201.4</v>
      </c>
      <c r="AG77" t="s">
        <v>137</v>
      </c>
      <c r="AH77">
        <v>24994.6</v>
      </c>
      <c r="AI77">
        <v>15201.4</v>
      </c>
      <c r="AL77" t="s">
        <v>137</v>
      </c>
      <c r="AM77">
        <v>24994.6</v>
      </c>
      <c r="AN77">
        <v>15201.4</v>
      </c>
      <c r="AP77" t="s">
        <v>290</v>
      </c>
      <c r="AQ77">
        <v>3605</v>
      </c>
      <c r="AR77">
        <v>3600</v>
      </c>
      <c r="AT77" t="s">
        <v>290</v>
      </c>
      <c r="AU77">
        <v>3605</v>
      </c>
      <c r="AV77">
        <v>3600</v>
      </c>
      <c r="AX77" t="s">
        <v>282</v>
      </c>
      <c r="AY77">
        <v>252</v>
      </c>
      <c r="AZ77">
        <v>498.24</v>
      </c>
      <c r="BB77" t="s">
        <v>282</v>
      </c>
      <c r="BC77">
        <v>216</v>
      </c>
      <c r="BD77">
        <v>289.68</v>
      </c>
      <c r="BF77" t="s">
        <v>282</v>
      </c>
      <c r="BG77">
        <v>180</v>
      </c>
      <c r="BH77">
        <v>289.68</v>
      </c>
      <c r="BJ77" t="s">
        <v>120</v>
      </c>
      <c r="BK77">
        <v>2207.5</v>
      </c>
      <c r="BL77">
        <v>2106</v>
      </c>
      <c r="BN77" t="s">
        <v>286</v>
      </c>
      <c r="BO77">
        <v>1396.76</v>
      </c>
      <c r="BP77">
        <v>7519.69</v>
      </c>
      <c r="BQ77">
        <f t="shared" si="19"/>
        <v>0</v>
      </c>
      <c r="BR77" t="s">
        <v>119</v>
      </c>
      <c r="BS77">
        <v>9887.5</v>
      </c>
      <c r="BT77">
        <v>8570</v>
      </c>
      <c r="BV77" t="s">
        <v>119</v>
      </c>
      <c r="BW77">
        <v>9887.5</v>
      </c>
      <c r="BX77">
        <v>8570</v>
      </c>
      <c r="BZ77" t="s">
        <v>373</v>
      </c>
      <c r="CD77" t="s">
        <v>373</v>
      </c>
      <c r="CH77" t="s">
        <v>373</v>
      </c>
    </row>
    <row r="78" spans="1:88" x14ac:dyDescent="0.3">
      <c r="A78" t="s">
        <v>9</v>
      </c>
      <c r="B78" t="s">
        <v>30</v>
      </c>
      <c r="D78">
        <f t="shared" si="16"/>
        <v>0</v>
      </c>
      <c r="E78">
        <f t="shared" si="17"/>
        <v>0</v>
      </c>
      <c r="F78" s="75">
        <f t="shared" si="18"/>
        <v>0</v>
      </c>
      <c r="G78" t="s">
        <v>137</v>
      </c>
      <c r="H78">
        <v>24994.6</v>
      </c>
      <c r="I78">
        <v>15871.4</v>
      </c>
      <c r="J78" s="75">
        <f t="shared" si="15"/>
        <v>0</v>
      </c>
      <c r="L78" t="s">
        <v>291</v>
      </c>
      <c r="M78">
        <v>7842.2</v>
      </c>
      <c r="N78">
        <v>5492.92</v>
      </c>
      <c r="P78" t="s">
        <v>291</v>
      </c>
      <c r="Q78">
        <v>7842.2</v>
      </c>
      <c r="R78">
        <v>5492.92</v>
      </c>
      <c r="T78" t="s">
        <v>291</v>
      </c>
      <c r="U78">
        <v>7842.2</v>
      </c>
      <c r="V78">
        <v>5492.92</v>
      </c>
      <c r="X78" t="s">
        <v>291</v>
      </c>
      <c r="Y78">
        <v>7842.2</v>
      </c>
      <c r="Z78">
        <v>5492.92</v>
      </c>
      <c r="AB78" t="s">
        <v>291</v>
      </c>
      <c r="AC78">
        <v>7212.2</v>
      </c>
      <c r="AD78">
        <v>4425.9399999999996</v>
      </c>
      <c r="AG78" t="s">
        <v>291</v>
      </c>
      <c r="AH78">
        <v>6897.2</v>
      </c>
      <c r="AI78">
        <v>4379.95</v>
      </c>
      <c r="AL78" t="s">
        <v>291</v>
      </c>
      <c r="AM78">
        <v>5837.2</v>
      </c>
      <c r="AN78">
        <v>3733.96</v>
      </c>
      <c r="AP78" t="s">
        <v>282</v>
      </c>
      <c r="AQ78">
        <v>252</v>
      </c>
      <c r="AR78">
        <v>498.24</v>
      </c>
      <c r="AT78" t="s">
        <v>282</v>
      </c>
      <c r="AU78">
        <v>252</v>
      </c>
      <c r="AV78">
        <v>498.24</v>
      </c>
      <c r="AX78" t="s">
        <v>120</v>
      </c>
      <c r="AY78">
        <v>9582.5</v>
      </c>
      <c r="AZ78">
        <v>6114</v>
      </c>
      <c r="BB78" t="s">
        <v>120</v>
      </c>
      <c r="BC78">
        <v>8082.5</v>
      </c>
      <c r="BD78">
        <v>4254</v>
      </c>
      <c r="BF78" t="s">
        <v>120</v>
      </c>
      <c r="BG78">
        <v>4882.5</v>
      </c>
      <c r="BH78">
        <v>3179</v>
      </c>
      <c r="BJ78" t="s">
        <v>286</v>
      </c>
      <c r="BK78">
        <v>7337.04</v>
      </c>
      <c r="BL78">
        <v>8087.16</v>
      </c>
      <c r="BN78" t="s">
        <v>287</v>
      </c>
      <c r="BO78">
        <v>1500</v>
      </c>
      <c r="BP78">
        <v>0</v>
      </c>
      <c r="BQ78">
        <f t="shared" si="19"/>
        <v>0</v>
      </c>
      <c r="BR78" t="s">
        <v>141</v>
      </c>
      <c r="BS78">
        <v>0</v>
      </c>
      <c r="BT78">
        <v>6302.2</v>
      </c>
      <c r="BV78" t="s">
        <v>141</v>
      </c>
      <c r="BW78">
        <v>0</v>
      </c>
      <c r="BX78">
        <v>6302.2</v>
      </c>
      <c r="BZ78" t="s">
        <v>374</v>
      </c>
      <c r="CD78" t="s">
        <v>374</v>
      </c>
      <c r="CH78" t="s">
        <v>374</v>
      </c>
    </row>
    <row r="79" spans="1:88" x14ac:dyDescent="0.3">
      <c r="A79" t="s">
        <v>297</v>
      </c>
      <c r="B79" t="s">
        <v>73</v>
      </c>
      <c r="C79" t="s">
        <v>300</v>
      </c>
      <c r="D79">
        <f t="shared" si="16"/>
        <v>6120</v>
      </c>
      <c r="E79">
        <f t="shared" si="17"/>
        <v>24182.57</v>
      </c>
      <c r="F79" s="75">
        <f t="shared" si="18"/>
        <v>0</v>
      </c>
      <c r="G79" t="s">
        <v>291</v>
      </c>
      <c r="H79">
        <v>7842.2</v>
      </c>
      <c r="I79">
        <v>5492.92</v>
      </c>
      <c r="J79" s="75">
        <f t="shared" si="15"/>
        <v>0</v>
      </c>
      <c r="L79" t="s">
        <v>290</v>
      </c>
      <c r="M79">
        <v>3605</v>
      </c>
      <c r="N79">
        <v>3600</v>
      </c>
      <c r="P79" t="s">
        <v>290</v>
      </c>
      <c r="Q79">
        <v>3605</v>
      </c>
      <c r="R79">
        <v>3600</v>
      </c>
      <c r="T79" t="s">
        <v>290</v>
      </c>
      <c r="U79">
        <v>3605</v>
      </c>
      <c r="V79">
        <v>3600</v>
      </c>
      <c r="X79" t="s">
        <v>290</v>
      </c>
      <c r="Y79">
        <v>3605</v>
      </c>
      <c r="Z79">
        <v>3600</v>
      </c>
      <c r="AB79" t="s">
        <v>290</v>
      </c>
      <c r="AC79">
        <v>3605</v>
      </c>
      <c r="AD79">
        <v>3600</v>
      </c>
      <c r="AG79" t="s">
        <v>290</v>
      </c>
      <c r="AH79">
        <v>3605</v>
      </c>
      <c r="AI79">
        <v>3600</v>
      </c>
      <c r="AL79" t="s">
        <v>290</v>
      </c>
      <c r="AM79">
        <v>3605</v>
      </c>
      <c r="AN79">
        <v>3600</v>
      </c>
      <c r="AP79" t="s">
        <v>120</v>
      </c>
      <c r="AQ79">
        <v>9582.5</v>
      </c>
      <c r="AR79">
        <v>6114</v>
      </c>
      <c r="AT79" t="s">
        <v>120</v>
      </c>
      <c r="AU79">
        <v>9582.5</v>
      </c>
      <c r="AV79">
        <v>6114</v>
      </c>
      <c r="AX79" t="s">
        <v>286</v>
      </c>
      <c r="AY79">
        <v>12352</v>
      </c>
      <c r="AZ79">
        <v>8856.68</v>
      </c>
      <c r="BB79" t="s">
        <v>286</v>
      </c>
      <c r="BC79">
        <v>9251.24</v>
      </c>
      <c r="BD79">
        <v>8856.68</v>
      </c>
      <c r="BF79" t="s">
        <v>286</v>
      </c>
      <c r="BG79">
        <v>9153.24</v>
      </c>
      <c r="BH79">
        <v>8817.18</v>
      </c>
      <c r="BJ79" t="s">
        <v>287</v>
      </c>
      <c r="BK79">
        <v>1500</v>
      </c>
      <c r="BL79">
        <v>0</v>
      </c>
      <c r="BN79" t="s">
        <v>131</v>
      </c>
      <c r="BO79">
        <v>16000</v>
      </c>
      <c r="BP79">
        <v>15500</v>
      </c>
      <c r="BQ79">
        <f t="shared" si="19"/>
        <v>0</v>
      </c>
      <c r="BR79" t="s">
        <v>288</v>
      </c>
      <c r="BS79">
        <v>109.46</v>
      </c>
      <c r="BT79">
        <v>0</v>
      </c>
      <c r="BV79" t="s">
        <v>288</v>
      </c>
      <c r="BW79">
        <v>109.46</v>
      </c>
      <c r="BX79">
        <v>0</v>
      </c>
      <c r="BZ79" t="s">
        <v>298</v>
      </c>
      <c r="CA79">
        <v>7598.25</v>
      </c>
      <c r="CB79">
        <v>99.11</v>
      </c>
      <c r="CD79" t="s">
        <v>298</v>
      </c>
      <c r="CE79">
        <v>7598.25</v>
      </c>
      <c r="CF79">
        <v>99.11</v>
      </c>
      <c r="CH79" t="s">
        <v>298</v>
      </c>
      <c r="CI79">
        <v>7598.25</v>
      </c>
      <c r="CJ79">
        <v>99.11</v>
      </c>
    </row>
    <row r="80" spans="1:88" x14ac:dyDescent="0.3">
      <c r="A80" t="s">
        <v>297</v>
      </c>
      <c r="B80" t="s">
        <v>74</v>
      </c>
      <c r="C80" t="s">
        <v>74</v>
      </c>
      <c r="D80">
        <f t="shared" si="16"/>
        <v>7872.9</v>
      </c>
      <c r="E80">
        <f t="shared" si="17"/>
        <v>6354.44</v>
      </c>
      <c r="F80" s="75">
        <f t="shared" si="18"/>
        <v>0</v>
      </c>
      <c r="G80" t="s">
        <v>290</v>
      </c>
      <c r="H80">
        <v>3605</v>
      </c>
      <c r="I80">
        <v>3600</v>
      </c>
      <c r="J80" s="75">
        <f t="shared" si="15"/>
        <v>0</v>
      </c>
      <c r="L80" t="s">
        <v>282</v>
      </c>
      <c r="M80">
        <v>3150.87</v>
      </c>
      <c r="N80">
        <v>498.24</v>
      </c>
      <c r="P80" t="s">
        <v>282</v>
      </c>
      <c r="Q80">
        <v>3150.87</v>
      </c>
      <c r="R80">
        <v>498.24</v>
      </c>
      <c r="T80" t="s">
        <v>282</v>
      </c>
      <c r="U80">
        <v>3150.87</v>
      </c>
      <c r="V80">
        <v>498.24</v>
      </c>
      <c r="X80" t="s">
        <v>282</v>
      </c>
      <c r="Y80">
        <v>3150.87</v>
      </c>
      <c r="Z80">
        <v>498.24</v>
      </c>
      <c r="AB80" t="s">
        <v>282</v>
      </c>
      <c r="AC80">
        <v>1034.49</v>
      </c>
      <c r="AD80">
        <v>498.24</v>
      </c>
      <c r="AG80" t="s">
        <v>282</v>
      </c>
      <c r="AH80">
        <v>692.1</v>
      </c>
      <c r="AI80">
        <v>498.24</v>
      </c>
      <c r="AL80" t="s">
        <v>282</v>
      </c>
      <c r="AM80">
        <v>656.1</v>
      </c>
      <c r="AN80">
        <v>498.24</v>
      </c>
      <c r="AP80" t="s">
        <v>286</v>
      </c>
      <c r="AQ80">
        <v>12352</v>
      </c>
      <c r="AR80">
        <v>8856.68</v>
      </c>
      <c r="AT80" t="s">
        <v>286</v>
      </c>
      <c r="AU80">
        <v>12352</v>
      </c>
      <c r="AV80">
        <v>8856.68</v>
      </c>
      <c r="AX80" t="s">
        <v>287</v>
      </c>
      <c r="AY80">
        <v>1500</v>
      </c>
      <c r="AZ80">
        <v>0</v>
      </c>
      <c r="BB80" t="s">
        <v>287</v>
      </c>
      <c r="BC80">
        <v>1500</v>
      </c>
      <c r="BD80">
        <v>0</v>
      </c>
      <c r="BF80" t="s">
        <v>287</v>
      </c>
      <c r="BG80">
        <v>1500</v>
      </c>
      <c r="BH80">
        <v>0</v>
      </c>
      <c r="BJ80" t="s">
        <v>131</v>
      </c>
      <c r="BK80">
        <v>20000</v>
      </c>
      <c r="BL80">
        <v>19500</v>
      </c>
      <c r="BN80" t="s">
        <v>119</v>
      </c>
      <c r="BO80">
        <v>15850</v>
      </c>
      <c r="BP80">
        <v>17455</v>
      </c>
      <c r="BQ80">
        <f t="shared" si="19"/>
        <v>0</v>
      </c>
      <c r="BR80" t="s">
        <v>368</v>
      </c>
      <c r="BS80">
        <v>199305.31</v>
      </c>
      <c r="BT80">
        <v>305567.21999999997</v>
      </c>
      <c r="BV80" t="s">
        <v>368</v>
      </c>
      <c r="BW80">
        <v>199305.31</v>
      </c>
      <c r="BX80">
        <v>305567.21999999997</v>
      </c>
      <c r="BZ80" t="s">
        <v>375</v>
      </c>
      <c r="CA80">
        <v>7598.25</v>
      </c>
      <c r="CB80">
        <v>99.11</v>
      </c>
      <c r="CD80" t="s">
        <v>375</v>
      </c>
      <c r="CE80">
        <v>7598.25</v>
      </c>
      <c r="CF80">
        <v>99.11</v>
      </c>
      <c r="CH80" t="s">
        <v>375</v>
      </c>
      <c r="CI80">
        <v>7598.25</v>
      </c>
      <c r="CJ80">
        <v>99.11</v>
      </c>
    </row>
    <row r="81" spans="1:88" x14ac:dyDescent="0.3">
      <c r="A81" t="s">
        <v>297</v>
      </c>
      <c r="B81" t="s">
        <v>67</v>
      </c>
      <c r="C81" t="s">
        <v>67</v>
      </c>
      <c r="D81">
        <f t="shared" si="16"/>
        <v>57851.77</v>
      </c>
      <c r="E81">
        <f t="shared" si="17"/>
        <v>48455</v>
      </c>
      <c r="F81" s="75">
        <f t="shared" si="18"/>
        <v>0</v>
      </c>
      <c r="G81" t="s">
        <v>282</v>
      </c>
      <c r="H81">
        <v>3150.87</v>
      </c>
      <c r="I81">
        <v>498.24</v>
      </c>
      <c r="J81" s="75">
        <f t="shared" si="15"/>
        <v>0</v>
      </c>
      <c r="L81" t="s">
        <v>120</v>
      </c>
      <c r="M81">
        <v>19431.72</v>
      </c>
      <c r="N81">
        <v>20173.240000000002</v>
      </c>
      <c r="P81" t="s">
        <v>120</v>
      </c>
      <c r="Q81">
        <v>19431.72</v>
      </c>
      <c r="R81">
        <v>20173.240000000002</v>
      </c>
      <c r="T81" t="s">
        <v>120</v>
      </c>
      <c r="U81">
        <v>19431.72</v>
      </c>
      <c r="V81">
        <v>20173.240000000002</v>
      </c>
      <c r="X81" t="s">
        <v>120</v>
      </c>
      <c r="Y81">
        <v>19431.72</v>
      </c>
      <c r="Z81">
        <v>20173.240000000002</v>
      </c>
      <c r="AB81" t="s">
        <v>120</v>
      </c>
      <c r="AC81">
        <v>16640.72</v>
      </c>
      <c r="AD81">
        <v>17845.240000000002</v>
      </c>
      <c r="AG81" t="s">
        <v>120</v>
      </c>
      <c r="AH81">
        <v>12170.72</v>
      </c>
      <c r="AI81">
        <v>17545.240000000002</v>
      </c>
      <c r="AL81" t="s">
        <v>120</v>
      </c>
      <c r="AM81">
        <v>9582.5</v>
      </c>
      <c r="AN81">
        <v>15223.24</v>
      </c>
      <c r="AP81" t="s">
        <v>287</v>
      </c>
      <c r="AQ81">
        <v>1500</v>
      </c>
      <c r="AR81">
        <v>0</v>
      </c>
      <c r="AT81" t="s">
        <v>287</v>
      </c>
      <c r="AU81">
        <v>1500</v>
      </c>
      <c r="AV81">
        <v>0</v>
      </c>
      <c r="AX81" t="s">
        <v>131</v>
      </c>
      <c r="AY81">
        <v>32000</v>
      </c>
      <c r="AZ81">
        <v>31500</v>
      </c>
      <c r="BB81" t="s">
        <v>131</v>
      </c>
      <c r="BC81">
        <v>28000</v>
      </c>
      <c r="BD81">
        <v>27500</v>
      </c>
      <c r="BF81" t="s">
        <v>131</v>
      </c>
      <c r="BG81">
        <v>24000</v>
      </c>
      <c r="BH81">
        <v>23500</v>
      </c>
      <c r="BJ81" t="s">
        <v>119</v>
      </c>
      <c r="BK81">
        <v>21325</v>
      </c>
      <c r="BL81">
        <v>26746.14</v>
      </c>
      <c r="BN81" t="s">
        <v>141</v>
      </c>
      <c r="BO81">
        <v>0</v>
      </c>
      <c r="BP81">
        <v>6302.2</v>
      </c>
      <c r="BQ81">
        <f t="shared" si="19"/>
        <v>0</v>
      </c>
      <c r="BR81" t="s">
        <v>369</v>
      </c>
      <c r="BV81" t="s">
        <v>369</v>
      </c>
      <c r="BZ81" t="s">
        <v>376</v>
      </c>
      <c r="CD81" t="s">
        <v>376</v>
      </c>
      <c r="CH81" t="s">
        <v>376</v>
      </c>
    </row>
    <row r="82" spans="1:88" x14ac:dyDescent="0.3">
      <c r="A82" t="s">
        <v>297</v>
      </c>
      <c r="B82" t="s">
        <v>68</v>
      </c>
      <c r="C82" t="s">
        <v>301</v>
      </c>
      <c r="D82">
        <f t="shared" si="16"/>
        <v>5754.36</v>
      </c>
      <c r="E82">
        <f t="shared" si="17"/>
        <v>7520.78</v>
      </c>
      <c r="F82" s="75">
        <f t="shared" si="18"/>
        <v>0</v>
      </c>
      <c r="G82" t="s">
        <v>120</v>
      </c>
      <c r="H82">
        <v>19431.72</v>
      </c>
      <c r="I82">
        <v>20173.240000000002</v>
      </c>
      <c r="J82" s="75">
        <f t="shared" si="15"/>
        <v>0</v>
      </c>
      <c r="L82" t="s">
        <v>286</v>
      </c>
      <c r="M82">
        <v>14376.12</v>
      </c>
      <c r="N82">
        <v>12197.63</v>
      </c>
      <c r="P82" t="s">
        <v>286</v>
      </c>
      <c r="Q82">
        <v>14376.12</v>
      </c>
      <c r="R82">
        <v>12197.63</v>
      </c>
      <c r="T82" t="s">
        <v>286</v>
      </c>
      <c r="U82">
        <v>14376.12</v>
      </c>
      <c r="V82">
        <v>12197.63</v>
      </c>
      <c r="X82" t="s">
        <v>286</v>
      </c>
      <c r="Y82">
        <v>14376.12</v>
      </c>
      <c r="Z82">
        <v>12197.63</v>
      </c>
      <c r="AB82" t="s">
        <v>286</v>
      </c>
      <c r="AC82">
        <v>13703.33</v>
      </c>
      <c r="AD82">
        <v>10711.84</v>
      </c>
      <c r="AG82" t="s">
        <v>286</v>
      </c>
      <c r="AH82">
        <v>13703.33</v>
      </c>
      <c r="AI82">
        <v>10695.84</v>
      </c>
      <c r="AL82" t="s">
        <v>286</v>
      </c>
      <c r="AM82">
        <v>13505.33</v>
      </c>
      <c r="AN82">
        <v>9306.68</v>
      </c>
      <c r="AP82" t="s">
        <v>131</v>
      </c>
      <c r="AQ82">
        <v>32000</v>
      </c>
      <c r="AR82">
        <v>31500</v>
      </c>
      <c r="AT82" t="s">
        <v>131</v>
      </c>
      <c r="AU82">
        <v>32000</v>
      </c>
      <c r="AV82">
        <v>31500</v>
      </c>
      <c r="AX82" t="s">
        <v>119</v>
      </c>
      <c r="AY82">
        <v>42343.89</v>
      </c>
      <c r="AZ82">
        <v>61714.14</v>
      </c>
      <c r="BB82" t="s">
        <v>119</v>
      </c>
      <c r="BC82">
        <v>36021.480000000003</v>
      </c>
      <c r="BD82">
        <v>51938.14</v>
      </c>
      <c r="BF82" t="s">
        <v>119</v>
      </c>
      <c r="BG82">
        <v>28099.22</v>
      </c>
      <c r="BH82">
        <v>45563.14</v>
      </c>
      <c r="BJ82" t="s">
        <v>141</v>
      </c>
      <c r="BK82">
        <v>10150</v>
      </c>
      <c r="BL82">
        <v>13236.42</v>
      </c>
      <c r="BN82" t="s">
        <v>288</v>
      </c>
      <c r="BO82">
        <v>455.34</v>
      </c>
      <c r="BP82">
        <v>0</v>
      </c>
      <c r="BQ82">
        <f t="shared" si="19"/>
        <v>0</v>
      </c>
      <c r="BR82" t="s">
        <v>370</v>
      </c>
      <c r="BV82" t="s">
        <v>370</v>
      </c>
      <c r="BZ82" t="s">
        <v>377</v>
      </c>
      <c r="CA82">
        <v>525</v>
      </c>
      <c r="CB82">
        <v>0</v>
      </c>
      <c r="CD82" t="s">
        <v>377</v>
      </c>
      <c r="CE82">
        <v>525</v>
      </c>
      <c r="CF82">
        <v>0</v>
      </c>
      <c r="CH82" t="s">
        <v>377</v>
      </c>
      <c r="CI82">
        <v>525</v>
      </c>
      <c r="CJ82">
        <v>0</v>
      </c>
    </row>
    <row r="83" spans="1:88" x14ac:dyDescent="0.3">
      <c r="A83" t="s">
        <v>262</v>
      </c>
      <c r="B83" t="s">
        <v>239</v>
      </c>
      <c r="C83" t="s">
        <v>302</v>
      </c>
      <c r="D83">
        <f t="shared" si="16"/>
        <v>237811.92</v>
      </c>
      <c r="E83">
        <f t="shared" si="17"/>
        <v>245171.63</v>
      </c>
      <c r="F83" s="75">
        <f t="shared" si="18"/>
        <v>0</v>
      </c>
      <c r="G83" t="s">
        <v>286</v>
      </c>
      <c r="H83">
        <v>14376.12</v>
      </c>
      <c r="I83">
        <v>12197.63</v>
      </c>
      <c r="J83" s="75">
        <f t="shared" si="15"/>
        <v>0</v>
      </c>
      <c r="L83" t="s">
        <v>287</v>
      </c>
      <c r="M83">
        <v>1500</v>
      </c>
      <c r="N83">
        <v>0</v>
      </c>
      <c r="P83" t="s">
        <v>287</v>
      </c>
      <c r="Q83">
        <v>1500</v>
      </c>
      <c r="R83">
        <v>0</v>
      </c>
      <c r="T83" t="s">
        <v>287</v>
      </c>
      <c r="U83">
        <v>1500</v>
      </c>
      <c r="V83">
        <v>0</v>
      </c>
      <c r="X83" t="s">
        <v>287</v>
      </c>
      <c r="Y83">
        <v>1500</v>
      </c>
      <c r="Z83">
        <v>0</v>
      </c>
      <c r="AB83" t="s">
        <v>287</v>
      </c>
      <c r="AC83">
        <v>1500</v>
      </c>
      <c r="AD83">
        <v>0</v>
      </c>
      <c r="AG83" t="s">
        <v>287</v>
      </c>
      <c r="AH83">
        <v>1500</v>
      </c>
      <c r="AI83">
        <v>0</v>
      </c>
      <c r="AL83" t="s">
        <v>287</v>
      </c>
      <c r="AM83">
        <v>1500</v>
      </c>
      <c r="AN83">
        <v>0</v>
      </c>
      <c r="AP83" t="s">
        <v>119</v>
      </c>
      <c r="AQ83">
        <v>42343.89</v>
      </c>
      <c r="AR83">
        <v>61714.14</v>
      </c>
      <c r="AT83" t="s">
        <v>119</v>
      </c>
      <c r="AU83">
        <v>42343.89</v>
      </c>
      <c r="AV83">
        <v>61714.14</v>
      </c>
      <c r="AX83" t="s">
        <v>141</v>
      </c>
      <c r="AY83">
        <v>60959.1</v>
      </c>
      <c r="AZ83">
        <v>88986.9</v>
      </c>
      <c r="BB83" t="s">
        <v>141</v>
      </c>
      <c r="BC83">
        <v>37440.699999999997</v>
      </c>
      <c r="BD83">
        <v>29391.89</v>
      </c>
      <c r="BF83" t="s">
        <v>141</v>
      </c>
      <c r="BG83">
        <v>17650</v>
      </c>
      <c r="BH83">
        <v>26072.59</v>
      </c>
      <c r="BJ83" t="s">
        <v>288</v>
      </c>
      <c r="BK83">
        <v>567.63</v>
      </c>
      <c r="BL83">
        <v>0</v>
      </c>
      <c r="BN83" t="s">
        <v>368</v>
      </c>
      <c r="BO83">
        <v>283038.48</v>
      </c>
      <c r="BP83">
        <v>390762.83</v>
      </c>
      <c r="BQ83">
        <f t="shared" si="19"/>
        <v>0</v>
      </c>
      <c r="BR83" t="s">
        <v>371</v>
      </c>
      <c r="BS83">
        <v>3000</v>
      </c>
      <c r="BT83">
        <v>0</v>
      </c>
      <c r="BV83" t="s">
        <v>371</v>
      </c>
      <c r="BW83">
        <v>3000</v>
      </c>
      <c r="BX83">
        <v>0</v>
      </c>
      <c r="BZ83" t="s">
        <v>299</v>
      </c>
      <c r="CA83">
        <v>525</v>
      </c>
      <c r="CB83">
        <v>0</v>
      </c>
      <c r="CD83" t="s">
        <v>299</v>
      </c>
      <c r="CE83">
        <v>525</v>
      </c>
      <c r="CF83">
        <v>0</v>
      </c>
      <c r="CH83" t="s">
        <v>299</v>
      </c>
      <c r="CI83">
        <v>525</v>
      </c>
      <c r="CJ83">
        <v>0</v>
      </c>
    </row>
    <row r="84" spans="1:88" x14ac:dyDescent="0.3">
      <c r="A84" t="s">
        <v>9</v>
      </c>
      <c r="B84" t="s">
        <v>82</v>
      </c>
      <c r="D84">
        <f t="shared" si="16"/>
        <v>0</v>
      </c>
      <c r="E84">
        <f t="shared" si="17"/>
        <v>0</v>
      </c>
      <c r="F84" s="75">
        <f t="shared" si="18"/>
        <v>0</v>
      </c>
      <c r="G84" t="s">
        <v>287</v>
      </c>
      <c r="H84">
        <v>1500</v>
      </c>
      <c r="I84">
        <v>0</v>
      </c>
      <c r="J84" s="75">
        <f t="shared" si="15"/>
        <v>0</v>
      </c>
      <c r="L84" t="s">
        <v>131</v>
      </c>
      <c r="M84">
        <v>49500</v>
      </c>
      <c r="N84">
        <v>47500</v>
      </c>
      <c r="P84" t="s">
        <v>131</v>
      </c>
      <c r="Q84">
        <v>49500</v>
      </c>
      <c r="R84">
        <v>47500</v>
      </c>
      <c r="T84" t="s">
        <v>131</v>
      </c>
      <c r="U84">
        <v>49500</v>
      </c>
      <c r="V84">
        <v>47500</v>
      </c>
      <c r="X84" t="s">
        <v>131</v>
      </c>
      <c r="Y84">
        <v>49500</v>
      </c>
      <c r="Z84">
        <v>47500</v>
      </c>
      <c r="AB84" t="s">
        <v>131</v>
      </c>
      <c r="AC84">
        <v>45500</v>
      </c>
      <c r="AD84">
        <v>43500</v>
      </c>
      <c r="AG84" t="s">
        <v>131</v>
      </c>
      <c r="AH84">
        <v>41500</v>
      </c>
      <c r="AI84">
        <v>39500</v>
      </c>
      <c r="AL84" t="s">
        <v>131</v>
      </c>
      <c r="AM84">
        <v>37500</v>
      </c>
      <c r="AN84">
        <v>35500</v>
      </c>
      <c r="AP84" t="s">
        <v>141</v>
      </c>
      <c r="AQ84">
        <v>67653.119999999995</v>
      </c>
      <c r="AR84">
        <v>88986.9</v>
      </c>
      <c r="AT84" t="s">
        <v>141</v>
      </c>
      <c r="AU84">
        <v>67653.119999999995</v>
      </c>
      <c r="AV84">
        <v>88986.9</v>
      </c>
      <c r="AX84" t="s">
        <v>288</v>
      </c>
      <c r="AY84">
        <v>567.63</v>
      </c>
      <c r="AZ84">
        <v>599.09</v>
      </c>
      <c r="BB84" t="s">
        <v>288</v>
      </c>
      <c r="BC84">
        <v>567.63</v>
      </c>
      <c r="BD84">
        <v>599.09</v>
      </c>
      <c r="BF84" t="s">
        <v>288</v>
      </c>
      <c r="BG84">
        <v>567.63</v>
      </c>
      <c r="BH84">
        <v>295.35000000000002</v>
      </c>
      <c r="BJ84" t="s">
        <v>368</v>
      </c>
      <c r="BK84">
        <v>357596.47</v>
      </c>
      <c r="BL84">
        <v>489553.03</v>
      </c>
      <c r="BN84" t="s">
        <v>369</v>
      </c>
      <c r="BQ84">
        <f t="shared" si="19"/>
        <v>0</v>
      </c>
      <c r="BR84" t="s">
        <v>372</v>
      </c>
      <c r="BS84">
        <v>2000</v>
      </c>
      <c r="BT84">
        <v>4750</v>
      </c>
      <c r="BV84" t="s">
        <v>372</v>
      </c>
      <c r="BW84">
        <v>2000</v>
      </c>
      <c r="BX84">
        <v>4750</v>
      </c>
      <c r="BZ84" t="s">
        <v>382</v>
      </c>
      <c r="CD84" t="s">
        <v>382</v>
      </c>
      <c r="CH84" t="s">
        <v>382</v>
      </c>
    </row>
    <row r="85" spans="1:88" x14ac:dyDescent="0.3">
      <c r="A85" t="s">
        <v>297</v>
      </c>
      <c r="B85" t="s">
        <v>78</v>
      </c>
      <c r="C85" t="s">
        <v>78</v>
      </c>
      <c r="D85">
        <f t="shared" si="16"/>
        <v>0</v>
      </c>
      <c r="E85">
        <f t="shared" si="17"/>
        <v>5500</v>
      </c>
      <c r="F85" s="75">
        <f t="shared" si="18"/>
        <v>0</v>
      </c>
      <c r="G85" t="s">
        <v>131</v>
      </c>
      <c r="H85">
        <v>49500</v>
      </c>
      <c r="I85">
        <v>47500</v>
      </c>
      <c r="J85" s="75">
        <f t="shared" si="15"/>
        <v>0</v>
      </c>
      <c r="L85" t="s">
        <v>119</v>
      </c>
      <c r="M85">
        <v>67718.42</v>
      </c>
      <c r="N85">
        <v>66998.240000000005</v>
      </c>
      <c r="P85" t="s">
        <v>119</v>
      </c>
      <c r="Q85">
        <v>67718.42</v>
      </c>
      <c r="R85">
        <v>66998.240000000005</v>
      </c>
      <c r="T85" t="s">
        <v>119</v>
      </c>
      <c r="U85">
        <v>67718.42</v>
      </c>
      <c r="V85">
        <v>66998.240000000005</v>
      </c>
      <c r="X85" t="s">
        <v>119</v>
      </c>
      <c r="Y85">
        <v>67718.42</v>
      </c>
      <c r="Z85">
        <v>66998.240000000005</v>
      </c>
      <c r="AB85" t="s">
        <v>119</v>
      </c>
      <c r="AC85">
        <v>60558.52</v>
      </c>
      <c r="AD85">
        <v>59860.74</v>
      </c>
      <c r="AG85" t="s">
        <v>119</v>
      </c>
      <c r="AH85">
        <v>52094.48</v>
      </c>
      <c r="AI85">
        <v>54560.74</v>
      </c>
      <c r="AL85" t="s">
        <v>119</v>
      </c>
      <c r="AM85">
        <v>46919.48</v>
      </c>
      <c r="AN85">
        <v>49200.24</v>
      </c>
      <c r="AP85" t="s">
        <v>288</v>
      </c>
      <c r="AQ85">
        <v>567.63</v>
      </c>
      <c r="AR85">
        <v>599.09</v>
      </c>
      <c r="AT85" t="s">
        <v>288</v>
      </c>
      <c r="AU85">
        <v>567.63</v>
      </c>
      <c r="AV85">
        <v>599.09</v>
      </c>
      <c r="AX85" t="s">
        <v>368</v>
      </c>
      <c r="AY85">
        <v>732200.9</v>
      </c>
      <c r="AZ85">
        <v>749661.16</v>
      </c>
      <c r="BB85" t="s">
        <v>368</v>
      </c>
      <c r="BC85">
        <v>619620.81999999995</v>
      </c>
      <c r="BD85">
        <v>644803.18999999994</v>
      </c>
      <c r="BF85" t="s">
        <v>368</v>
      </c>
      <c r="BG85">
        <v>489225.32</v>
      </c>
      <c r="BH85">
        <v>570768.79</v>
      </c>
      <c r="BJ85" t="s">
        <v>369</v>
      </c>
      <c r="BN85" t="s">
        <v>370</v>
      </c>
      <c r="BQ85">
        <f t="shared" si="19"/>
        <v>0</v>
      </c>
      <c r="BR85" t="s">
        <v>296</v>
      </c>
      <c r="BS85">
        <v>5000</v>
      </c>
      <c r="BT85">
        <v>4750</v>
      </c>
      <c r="BV85" t="s">
        <v>296</v>
      </c>
      <c r="BW85">
        <v>5000</v>
      </c>
      <c r="BX85">
        <v>4750</v>
      </c>
      <c r="BZ85" t="s">
        <v>302</v>
      </c>
      <c r="CA85">
        <v>16098.92</v>
      </c>
      <c r="CB85">
        <v>12915.38</v>
      </c>
      <c r="CD85" t="s">
        <v>302</v>
      </c>
      <c r="CE85">
        <v>16098.92</v>
      </c>
      <c r="CF85">
        <v>12915.38</v>
      </c>
      <c r="CH85" t="s">
        <v>302</v>
      </c>
      <c r="CI85">
        <v>16098.92</v>
      </c>
      <c r="CJ85">
        <v>12915.38</v>
      </c>
    </row>
    <row r="86" spans="1:88" x14ac:dyDescent="0.3">
      <c r="A86" t="s">
        <v>297</v>
      </c>
      <c r="B86" t="s">
        <v>77</v>
      </c>
      <c r="C86" t="s">
        <v>77</v>
      </c>
      <c r="D86">
        <f t="shared" si="16"/>
        <v>2500</v>
      </c>
      <c r="E86">
        <f t="shared" si="17"/>
        <v>5500</v>
      </c>
      <c r="F86" s="75">
        <f t="shared" si="18"/>
        <v>0</v>
      </c>
      <c r="G86" t="s">
        <v>119</v>
      </c>
      <c r="H86">
        <v>67718.42</v>
      </c>
      <c r="I86">
        <v>66998.240000000005</v>
      </c>
      <c r="J86" s="75">
        <f t="shared" si="15"/>
        <v>0</v>
      </c>
      <c r="L86" t="s">
        <v>141</v>
      </c>
      <c r="M86">
        <v>248839.1</v>
      </c>
      <c r="N86">
        <v>248213.76000000001</v>
      </c>
      <c r="P86" t="s">
        <v>141</v>
      </c>
      <c r="Q86">
        <v>240021.61</v>
      </c>
      <c r="R86">
        <v>248213.76000000001</v>
      </c>
      <c r="T86" t="s">
        <v>141</v>
      </c>
      <c r="U86">
        <v>240021.61</v>
      </c>
      <c r="V86">
        <v>248213.76000000001</v>
      </c>
      <c r="X86" t="s">
        <v>141</v>
      </c>
      <c r="Y86">
        <v>240021.61</v>
      </c>
      <c r="Z86">
        <v>248213.76000000001</v>
      </c>
      <c r="AB86" t="s">
        <v>141</v>
      </c>
      <c r="AC86">
        <v>223082.37</v>
      </c>
      <c r="AD86">
        <v>239540.23</v>
      </c>
      <c r="AG86" t="s">
        <v>141</v>
      </c>
      <c r="AH86">
        <v>181833.65</v>
      </c>
      <c r="AI86">
        <v>150532.82999999999</v>
      </c>
      <c r="AL86" t="s">
        <v>141</v>
      </c>
      <c r="AM86">
        <v>120620.15</v>
      </c>
      <c r="AN86">
        <v>109853.83</v>
      </c>
      <c r="AP86" t="s">
        <v>368</v>
      </c>
      <c r="AQ86">
        <v>746104.46</v>
      </c>
      <c r="AR86">
        <v>749661.16</v>
      </c>
      <c r="AT86" t="s">
        <v>368</v>
      </c>
      <c r="AU86">
        <v>746104.46</v>
      </c>
      <c r="AV86">
        <v>749661.16</v>
      </c>
      <c r="AX86" t="s">
        <v>369</v>
      </c>
      <c r="BB86" t="s">
        <v>369</v>
      </c>
      <c r="BF86" t="s">
        <v>369</v>
      </c>
      <c r="BJ86" t="s">
        <v>370</v>
      </c>
      <c r="BN86" t="s">
        <v>371</v>
      </c>
      <c r="BO86">
        <v>4600</v>
      </c>
      <c r="BP86">
        <v>0</v>
      </c>
      <c r="BQ86">
        <f t="shared" si="19"/>
        <v>0</v>
      </c>
      <c r="BR86" t="s">
        <v>373</v>
      </c>
      <c r="BV86" t="s">
        <v>373</v>
      </c>
      <c r="BZ86" t="s">
        <v>383</v>
      </c>
      <c r="CA86">
        <v>16098.92</v>
      </c>
      <c r="CB86">
        <v>12915.38</v>
      </c>
      <c r="CD86" t="s">
        <v>383</v>
      </c>
      <c r="CE86">
        <v>16098.92</v>
      </c>
      <c r="CF86">
        <v>12915.38</v>
      </c>
      <c r="CH86" t="s">
        <v>383</v>
      </c>
      <c r="CI86">
        <v>16098.92</v>
      </c>
      <c r="CJ86">
        <v>12915.38</v>
      </c>
    </row>
    <row r="87" spans="1:88" x14ac:dyDescent="0.3">
      <c r="A87" t="s">
        <v>9</v>
      </c>
      <c r="B87" t="s">
        <v>303</v>
      </c>
      <c r="D87">
        <f t="shared" si="16"/>
        <v>0</v>
      </c>
      <c r="E87">
        <f t="shared" si="17"/>
        <v>0</v>
      </c>
      <c r="F87" s="75">
        <f t="shared" si="18"/>
        <v>0</v>
      </c>
      <c r="G87" t="s">
        <v>141</v>
      </c>
      <c r="H87">
        <v>249292.37</v>
      </c>
      <c r="I87">
        <v>248213.76000000001</v>
      </c>
      <c r="J87" s="75">
        <f t="shared" si="15"/>
        <v>0</v>
      </c>
      <c r="L87" t="s">
        <v>288</v>
      </c>
      <c r="M87">
        <v>825.46</v>
      </c>
      <c r="N87">
        <v>1449.84</v>
      </c>
      <c r="P87" t="s">
        <v>288</v>
      </c>
      <c r="Q87">
        <v>825.46</v>
      </c>
      <c r="R87">
        <v>1449.84</v>
      </c>
      <c r="T87" t="s">
        <v>288</v>
      </c>
      <c r="U87">
        <v>825.46</v>
      </c>
      <c r="V87">
        <v>1449.84</v>
      </c>
      <c r="X87" t="s">
        <v>288</v>
      </c>
      <c r="Y87">
        <v>825.46</v>
      </c>
      <c r="Z87">
        <v>1449.84</v>
      </c>
      <c r="AB87" t="s">
        <v>288</v>
      </c>
      <c r="AC87">
        <v>825.46</v>
      </c>
      <c r="AD87">
        <v>1300.1400000000001</v>
      </c>
      <c r="AG87" t="s">
        <v>288</v>
      </c>
      <c r="AH87">
        <v>825.46</v>
      </c>
      <c r="AI87">
        <v>1099.49</v>
      </c>
      <c r="AL87" t="s">
        <v>288</v>
      </c>
      <c r="AM87">
        <v>749.61</v>
      </c>
      <c r="AN87">
        <v>599.09</v>
      </c>
      <c r="AP87" t="s">
        <v>369</v>
      </c>
      <c r="AT87" t="s">
        <v>369</v>
      </c>
      <c r="AX87" t="s">
        <v>370</v>
      </c>
      <c r="BB87" t="s">
        <v>370</v>
      </c>
      <c r="BF87" t="s">
        <v>370</v>
      </c>
      <c r="BJ87" t="s">
        <v>371</v>
      </c>
      <c r="BK87">
        <v>4600</v>
      </c>
      <c r="BL87">
        <v>0</v>
      </c>
      <c r="BN87" t="s">
        <v>372</v>
      </c>
      <c r="BO87">
        <v>2000</v>
      </c>
      <c r="BP87">
        <v>4750</v>
      </c>
      <c r="BQ87">
        <f t="shared" si="19"/>
        <v>0</v>
      </c>
      <c r="BR87" t="s">
        <v>374</v>
      </c>
      <c r="BV87" t="s">
        <v>374</v>
      </c>
      <c r="BZ87" t="s">
        <v>384</v>
      </c>
      <c r="CD87" t="s">
        <v>384</v>
      </c>
      <c r="CH87" t="s">
        <v>384</v>
      </c>
    </row>
    <row r="88" spans="1:88" x14ac:dyDescent="0.3">
      <c r="A88" t="s">
        <v>297</v>
      </c>
      <c r="B88" t="s">
        <v>79</v>
      </c>
      <c r="C88" t="s">
        <v>79</v>
      </c>
      <c r="D88">
        <f t="shared" si="16"/>
        <v>1000</v>
      </c>
      <c r="E88">
        <f t="shared" si="17"/>
        <v>1650</v>
      </c>
      <c r="F88" s="75">
        <f t="shared" si="18"/>
        <v>0</v>
      </c>
      <c r="G88" t="s">
        <v>288</v>
      </c>
      <c r="H88">
        <v>873.43</v>
      </c>
      <c r="I88">
        <v>1449.84</v>
      </c>
      <c r="J88" s="75">
        <f t="shared" si="15"/>
        <v>0</v>
      </c>
      <c r="L88" t="s">
        <v>368</v>
      </c>
      <c r="M88">
        <v>1180315.6399999999</v>
      </c>
      <c r="N88">
        <v>1166811.52</v>
      </c>
      <c r="P88" t="s">
        <v>368</v>
      </c>
      <c r="Q88">
        <v>1161448.2</v>
      </c>
      <c r="R88">
        <v>1166811.52</v>
      </c>
      <c r="T88" t="s">
        <v>368</v>
      </c>
      <c r="U88">
        <v>1161448.2</v>
      </c>
      <c r="V88">
        <v>1166811.52</v>
      </c>
      <c r="X88" t="s">
        <v>368</v>
      </c>
      <c r="Y88">
        <v>1161448.2</v>
      </c>
      <c r="Z88">
        <v>1166811.52</v>
      </c>
      <c r="AB88" t="s">
        <v>368</v>
      </c>
      <c r="AC88">
        <v>1076287.1100000001</v>
      </c>
      <c r="AD88">
        <v>1068640.73</v>
      </c>
      <c r="AG88" t="s">
        <v>368</v>
      </c>
      <c r="AH88">
        <v>985231.19</v>
      </c>
      <c r="AI88">
        <v>926810.3</v>
      </c>
      <c r="AL88" t="s">
        <v>368</v>
      </c>
      <c r="AM88">
        <v>869900.71</v>
      </c>
      <c r="AN88">
        <v>837496.14</v>
      </c>
      <c r="AP88" t="s">
        <v>370</v>
      </c>
      <c r="AT88" t="s">
        <v>370</v>
      </c>
      <c r="AX88" t="s">
        <v>371</v>
      </c>
      <c r="AY88">
        <v>4600</v>
      </c>
      <c r="AZ88">
        <v>0</v>
      </c>
      <c r="BB88" t="s">
        <v>371</v>
      </c>
      <c r="BC88">
        <v>4600</v>
      </c>
      <c r="BD88">
        <v>0</v>
      </c>
      <c r="BF88" t="s">
        <v>371</v>
      </c>
      <c r="BG88">
        <v>4600</v>
      </c>
      <c r="BH88">
        <v>0</v>
      </c>
      <c r="BJ88" t="s">
        <v>372</v>
      </c>
      <c r="BK88">
        <v>2000</v>
      </c>
      <c r="BL88">
        <v>8500</v>
      </c>
      <c r="BN88" t="s">
        <v>296</v>
      </c>
      <c r="BO88">
        <v>6600</v>
      </c>
      <c r="BP88">
        <v>4750</v>
      </c>
      <c r="BQ88">
        <f t="shared" si="19"/>
        <v>0</v>
      </c>
      <c r="BR88" t="s">
        <v>298</v>
      </c>
      <c r="BS88">
        <v>22137.17</v>
      </c>
      <c r="BT88">
        <v>11608.29</v>
      </c>
      <c r="BV88" t="s">
        <v>298</v>
      </c>
      <c r="BW88">
        <v>22137.17</v>
      </c>
      <c r="BX88">
        <v>11608.29</v>
      </c>
      <c r="BZ88" t="s">
        <v>79</v>
      </c>
      <c r="CA88">
        <v>0</v>
      </c>
      <c r="CB88">
        <v>550</v>
      </c>
      <c r="CD88" t="s">
        <v>79</v>
      </c>
      <c r="CE88">
        <v>0</v>
      </c>
      <c r="CF88">
        <v>550</v>
      </c>
      <c r="CH88" t="s">
        <v>79</v>
      </c>
      <c r="CI88">
        <v>0</v>
      </c>
      <c r="CJ88">
        <v>550</v>
      </c>
    </row>
    <row r="89" spans="1:88" x14ac:dyDescent="0.3">
      <c r="A89" t="s">
        <v>297</v>
      </c>
      <c r="B89" t="s">
        <v>80</v>
      </c>
      <c r="C89" t="s">
        <v>304</v>
      </c>
      <c r="D89">
        <f t="shared" si="16"/>
        <v>0</v>
      </c>
      <c r="E89">
        <f t="shared" si="17"/>
        <v>0</v>
      </c>
      <c r="F89" s="75">
        <f t="shared" si="18"/>
        <v>-1187041.07</v>
      </c>
      <c r="G89" t="s">
        <v>368</v>
      </c>
      <c r="H89">
        <v>1187041.07</v>
      </c>
      <c r="I89">
        <v>1166811.52</v>
      </c>
      <c r="J89" s="75">
        <f t="shared" ref="J89:J152" si="20">SUMIFS(E:E,C:C,G89)-I89</f>
        <v>-1166811.52</v>
      </c>
      <c r="L89" t="s">
        <v>369</v>
      </c>
      <c r="P89" t="s">
        <v>369</v>
      </c>
      <c r="T89" t="s">
        <v>369</v>
      </c>
      <c r="X89" t="s">
        <v>369</v>
      </c>
      <c r="AB89" t="s">
        <v>369</v>
      </c>
      <c r="AC89"/>
      <c r="AD89"/>
      <c r="AG89" t="s">
        <v>369</v>
      </c>
      <c r="AL89" t="s">
        <v>369</v>
      </c>
      <c r="AP89" t="s">
        <v>371</v>
      </c>
      <c r="AQ89">
        <v>4600</v>
      </c>
      <c r="AR89">
        <v>0</v>
      </c>
      <c r="AT89" t="s">
        <v>371</v>
      </c>
      <c r="AU89">
        <v>4600</v>
      </c>
      <c r="AV89">
        <v>0</v>
      </c>
      <c r="AX89" t="s">
        <v>372</v>
      </c>
      <c r="AY89">
        <v>2000</v>
      </c>
      <c r="AZ89">
        <v>8500</v>
      </c>
      <c r="BB89" t="s">
        <v>372</v>
      </c>
      <c r="BC89">
        <v>2000</v>
      </c>
      <c r="BD89">
        <v>8500</v>
      </c>
      <c r="BF89" t="s">
        <v>372</v>
      </c>
      <c r="BG89">
        <v>2000</v>
      </c>
      <c r="BH89">
        <v>8500</v>
      </c>
      <c r="BJ89" t="s">
        <v>296</v>
      </c>
      <c r="BK89">
        <v>6600</v>
      </c>
      <c r="BL89">
        <v>8500</v>
      </c>
      <c r="BN89" t="s">
        <v>373</v>
      </c>
      <c r="BQ89">
        <f t="shared" si="19"/>
        <v>-1166811.52</v>
      </c>
      <c r="BR89" t="s">
        <v>375</v>
      </c>
      <c r="BS89">
        <v>22137.17</v>
      </c>
      <c r="BT89">
        <v>11608.29</v>
      </c>
      <c r="BV89" t="s">
        <v>375</v>
      </c>
      <c r="BW89">
        <v>22137.17</v>
      </c>
      <c r="BX89">
        <v>11608.29</v>
      </c>
      <c r="BZ89" t="s">
        <v>385</v>
      </c>
      <c r="CA89">
        <v>0</v>
      </c>
      <c r="CB89">
        <v>550</v>
      </c>
      <c r="CD89" t="s">
        <v>385</v>
      </c>
      <c r="CE89">
        <v>0</v>
      </c>
      <c r="CF89">
        <v>550</v>
      </c>
      <c r="CH89" t="s">
        <v>385</v>
      </c>
      <c r="CI89">
        <v>0</v>
      </c>
      <c r="CJ89">
        <v>550</v>
      </c>
    </row>
    <row r="90" spans="1:88" x14ac:dyDescent="0.3">
      <c r="A90" t="s">
        <v>253</v>
      </c>
      <c r="B90" t="s">
        <v>222</v>
      </c>
      <c r="C90" t="s">
        <v>305</v>
      </c>
      <c r="D90">
        <f t="shared" si="16"/>
        <v>975.5</v>
      </c>
      <c r="E90">
        <f t="shared" si="17"/>
        <v>17308.580000000002</v>
      </c>
      <c r="F90" s="75">
        <f t="shared" si="18"/>
        <v>0</v>
      </c>
      <c r="G90" t="s">
        <v>369</v>
      </c>
      <c r="J90" s="75">
        <f t="shared" si="20"/>
        <v>0</v>
      </c>
      <c r="L90" t="s">
        <v>27</v>
      </c>
      <c r="M90">
        <v>0</v>
      </c>
      <c r="N90">
        <v>30000</v>
      </c>
      <c r="P90" t="s">
        <v>27</v>
      </c>
      <c r="Q90">
        <v>0</v>
      </c>
      <c r="R90">
        <v>30000</v>
      </c>
      <c r="T90" t="s">
        <v>27</v>
      </c>
      <c r="U90">
        <v>0</v>
      </c>
      <c r="V90">
        <v>30000</v>
      </c>
      <c r="X90" t="s">
        <v>27</v>
      </c>
      <c r="Y90">
        <v>0</v>
      </c>
      <c r="Z90">
        <v>30000</v>
      </c>
      <c r="AB90" t="s">
        <v>370</v>
      </c>
      <c r="AC90"/>
      <c r="AD90"/>
      <c r="AG90" t="s">
        <v>370</v>
      </c>
      <c r="AL90" t="s">
        <v>370</v>
      </c>
      <c r="AP90" t="s">
        <v>372</v>
      </c>
      <c r="AQ90">
        <v>2000</v>
      </c>
      <c r="AR90">
        <v>8500</v>
      </c>
      <c r="AT90" t="s">
        <v>372</v>
      </c>
      <c r="AU90">
        <v>2000</v>
      </c>
      <c r="AV90">
        <v>8500</v>
      </c>
      <c r="AX90" t="s">
        <v>296</v>
      </c>
      <c r="AY90">
        <v>6600</v>
      </c>
      <c r="AZ90">
        <v>8500</v>
      </c>
      <c r="BB90" t="s">
        <v>296</v>
      </c>
      <c r="BC90">
        <v>6600</v>
      </c>
      <c r="BD90">
        <v>8500</v>
      </c>
      <c r="BF90" t="s">
        <v>296</v>
      </c>
      <c r="BG90">
        <v>6600</v>
      </c>
      <c r="BH90">
        <v>8500</v>
      </c>
      <c r="BJ90" t="s">
        <v>373</v>
      </c>
      <c r="BN90" t="s">
        <v>374</v>
      </c>
      <c r="BQ90">
        <f t="shared" si="19"/>
        <v>0</v>
      </c>
      <c r="BR90" t="s">
        <v>376</v>
      </c>
      <c r="BV90" t="s">
        <v>376</v>
      </c>
      <c r="BZ90" t="s">
        <v>386</v>
      </c>
      <c r="CA90">
        <v>24222.17</v>
      </c>
      <c r="CB90">
        <v>13564.49</v>
      </c>
      <c r="CD90" t="s">
        <v>386</v>
      </c>
      <c r="CE90">
        <v>24222.17</v>
      </c>
      <c r="CF90">
        <v>13564.49</v>
      </c>
      <c r="CH90" t="s">
        <v>386</v>
      </c>
      <c r="CI90">
        <v>24222.17</v>
      </c>
      <c r="CJ90">
        <v>13564.49</v>
      </c>
    </row>
    <row r="91" spans="1:88" x14ac:dyDescent="0.3">
      <c r="A91" t="s">
        <v>253</v>
      </c>
      <c r="B91" t="s">
        <v>19</v>
      </c>
      <c r="C91" t="s">
        <v>306</v>
      </c>
      <c r="D91">
        <f t="shared" si="16"/>
        <v>6342.14</v>
      </c>
      <c r="E91">
        <f t="shared" si="17"/>
        <v>800</v>
      </c>
      <c r="F91" s="75">
        <f t="shared" si="18"/>
        <v>0</v>
      </c>
      <c r="G91" t="s">
        <v>27</v>
      </c>
      <c r="H91">
        <v>0</v>
      </c>
      <c r="I91">
        <v>30000</v>
      </c>
      <c r="J91" s="75">
        <f t="shared" si="20"/>
        <v>0</v>
      </c>
      <c r="L91" t="s">
        <v>370</v>
      </c>
      <c r="P91" t="s">
        <v>370</v>
      </c>
      <c r="T91" t="s">
        <v>370</v>
      </c>
      <c r="X91" t="s">
        <v>370</v>
      </c>
      <c r="AB91" t="s">
        <v>371</v>
      </c>
      <c r="AC91">
        <v>5600</v>
      </c>
      <c r="AD91">
        <v>0</v>
      </c>
      <c r="AG91" t="s">
        <v>371</v>
      </c>
      <c r="AH91">
        <v>4600</v>
      </c>
      <c r="AI91">
        <v>0</v>
      </c>
      <c r="AL91" t="s">
        <v>371</v>
      </c>
      <c r="AM91">
        <v>4600</v>
      </c>
      <c r="AN91">
        <v>0</v>
      </c>
      <c r="AP91" t="s">
        <v>296</v>
      </c>
      <c r="AQ91">
        <v>6600</v>
      </c>
      <c r="AR91">
        <v>8500</v>
      </c>
      <c r="AT91" t="s">
        <v>296</v>
      </c>
      <c r="AU91">
        <v>6600</v>
      </c>
      <c r="AV91">
        <v>8500</v>
      </c>
      <c r="AX91" t="s">
        <v>373</v>
      </c>
      <c r="BB91" t="s">
        <v>373</v>
      </c>
      <c r="BF91" t="s">
        <v>373</v>
      </c>
      <c r="BJ91" t="s">
        <v>374</v>
      </c>
      <c r="BN91" t="s">
        <v>298</v>
      </c>
      <c r="BO91">
        <v>28723.9</v>
      </c>
      <c r="BP91">
        <v>16222.62</v>
      </c>
      <c r="BQ91">
        <f t="shared" si="19"/>
        <v>0</v>
      </c>
      <c r="BR91" t="s">
        <v>377</v>
      </c>
      <c r="BS91">
        <v>525</v>
      </c>
      <c r="BT91">
        <v>525</v>
      </c>
      <c r="BV91" t="s">
        <v>377</v>
      </c>
      <c r="BW91">
        <v>525</v>
      </c>
      <c r="BX91">
        <v>525</v>
      </c>
      <c r="BZ91" t="s">
        <v>387</v>
      </c>
      <c r="CD91" t="s">
        <v>387</v>
      </c>
      <c r="CH91" t="s">
        <v>387</v>
      </c>
    </row>
    <row r="92" spans="1:88" x14ac:dyDescent="0.3">
      <c r="A92" t="s">
        <v>297</v>
      </c>
      <c r="B92" t="s">
        <v>82</v>
      </c>
      <c r="C92" t="s">
        <v>307</v>
      </c>
      <c r="D92">
        <f t="shared" si="16"/>
        <v>0</v>
      </c>
      <c r="E92">
        <f t="shared" si="17"/>
        <v>1735.01</v>
      </c>
      <c r="F92" s="75">
        <f t="shared" si="18"/>
        <v>0</v>
      </c>
      <c r="G92" t="s">
        <v>370</v>
      </c>
      <c r="J92" s="75">
        <f t="shared" si="20"/>
        <v>0</v>
      </c>
      <c r="L92" t="s">
        <v>371</v>
      </c>
      <c r="M92">
        <v>6600</v>
      </c>
      <c r="N92">
        <v>1000</v>
      </c>
      <c r="P92" t="s">
        <v>371</v>
      </c>
      <c r="Q92">
        <v>6600</v>
      </c>
      <c r="R92">
        <v>1000</v>
      </c>
      <c r="T92" t="s">
        <v>371</v>
      </c>
      <c r="U92">
        <v>6600</v>
      </c>
      <c r="V92">
        <v>1000</v>
      </c>
      <c r="X92" t="s">
        <v>371</v>
      </c>
      <c r="Y92">
        <v>6600</v>
      </c>
      <c r="Z92">
        <v>1000</v>
      </c>
      <c r="AB92" t="s">
        <v>372</v>
      </c>
      <c r="AC92">
        <v>2000</v>
      </c>
      <c r="AD92">
        <v>8500</v>
      </c>
      <c r="AG92" t="s">
        <v>372</v>
      </c>
      <c r="AH92">
        <v>2000</v>
      </c>
      <c r="AI92">
        <v>8500</v>
      </c>
      <c r="AL92" t="s">
        <v>372</v>
      </c>
      <c r="AM92">
        <v>2000</v>
      </c>
      <c r="AN92">
        <v>8500</v>
      </c>
      <c r="AP92" t="s">
        <v>373</v>
      </c>
      <c r="AT92" t="s">
        <v>373</v>
      </c>
      <c r="AX92" t="s">
        <v>374</v>
      </c>
      <c r="BB92" t="s">
        <v>374</v>
      </c>
      <c r="BF92" t="s">
        <v>374</v>
      </c>
      <c r="BJ92" t="s">
        <v>298</v>
      </c>
      <c r="BK92">
        <v>31890.54</v>
      </c>
      <c r="BL92">
        <v>19650.48</v>
      </c>
      <c r="BN92" t="s">
        <v>375</v>
      </c>
      <c r="BO92">
        <v>28723.9</v>
      </c>
      <c r="BP92">
        <v>16222.62</v>
      </c>
      <c r="BQ92">
        <f t="shared" si="19"/>
        <v>0</v>
      </c>
      <c r="BR92" t="s">
        <v>299</v>
      </c>
      <c r="BS92">
        <v>525</v>
      </c>
      <c r="BT92">
        <v>525</v>
      </c>
      <c r="BV92" t="s">
        <v>299</v>
      </c>
      <c r="BW92">
        <v>525</v>
      </c>
      <c r="BX92">
        <v>525</v>
      </c>
      <c r="BZ92" t="s">
        <v>388</v>
      </c>
      <c r="CD92" t="s">
        <v>388</v>
      </c>
      <c r="CH92" t="s">
        <v>388</v>
      </c>
    </row>
    <row r="93" spans="1:88" x14ac:dyDescent="0.3">
      <c r="A93" t="s">
        <v>9</v>
      </c>
      <c r="B93" t="s">
        <v>23</v>
      </c>
      <c r="D93">
        <f t="shared" si="16"/>
        <v>0</v>
      </c>
      <c r="E93">
        <f t="shared" si="17"/>
        <v>0</v>
      </c>
      <c r="F93" s="75">
        <f t="shared" si="18"/>
        <v>-6600</v>
      </c>
      <c r="G93" t="s">
        <v>371</v>
      </c>
      <c r="H93">
        <v>6600</v>
      </c>
      <c r="I93">
        <v>1000</v>
      </c>
      <c r="J93" s="75">
        <f t="shared" si="20"/>
        <v>-1000</v>
      </c>
      <c r="L93" t="s">
        <v>372</v>
      </c>
      <c r="M93">
        <v>2000</v>
      </c>
      <c r="N93">
        <v>8500</v>
      </c>
      <c r="P93" t="s">
        <v>372</v>
      </c>
      <c r="Q93">
        <v>2000</v>
      </c>
      <c r="R93">
        <v>8500</v>
      </c>
      <c r="T93" t="s">
        <v>372</v>
      </c>
      <c r="U93">
        <v>2000</v>
      </c>
      <c r="V93">
        <v>8500</v>
      </c>
      <c r="X93" t="s">
        <v>372</v>
      </c>
      <c r="Y93">
        <v>2000</v>
      </c>
      <c r="Z93">
        <v>8500</v>
      </c>
      <c r="AB93" t="s">
        <v>296</v>
      </c>
      <c r="AC93">
        <v>7600</v>
      </c>
      <c r="AD93">
        <v>8500</v>
      </c>
      <c r="AG93" t="s">
        <v>296</v>
      </c>
      <c r="AH93">
        <v>6600</v>
      </c>
      <c r="AI93">
        <v>8500</v>
      </c>
      <c r="AL93" t="s">
        <v>296</v>
      </c>
      <c r="AM93">
        <v>6600</v>
      </c>
      <c r="AN93">
        <v>8500</v>
      </c>
      <c r="AP93" t="s">
        <v>374</v>
      </c>
      <c r="AT93" t="s">
        <v>374</v>
      </c>
      <c r="AX93" t="s">
        <v>298</v>
      </c>
      <c r="AY93">
        <v>33870.89</v>
      </c>
      <c r="AZ93">
        <v>20425.43</v>
      </c>
      <c r="BB93" t="s">
        <v>298</v>
      </c>
      <c r="BC93">
        <v>36928.69</v>
      </c>
      <c r="BD93">
        <v>20425.43</v>
      </c>
      <c r="BF93" t="s">
        <v>298</v>
      </c>
      <c r="BG93">
        <v>31890.54</v>
      </c>
      <c r="BH93">
        <v>19650.48</v>
      </c>
      <c r="BJ93" t="s">
        <v>375</v>
      </c>
      <c r="BK93">
        <v>31890.54</v>
      </c>
      <c r="BL93">
        <v>19650.48</v>
      </c>
      <c r="BN93" t="s">
        <v>376</v>
      </c>
      <c r="BQ93">
        <f t="shared" si="19"/>
        <v>-1000</v>
      </c>
      <c r="BR93" t="s">
        <v>380</v>
      </c>
      <c r="BV93" t="s">
        <v>380</v>
      </c>
      <c r="BZ93" t="s">
        <v>309</v>
      </c>
      <c r="CA93">
        <v>2772</v>
      </c>
      <c r="CB93">
        <v>0</v>
      </c>
      <c r="CD93" t="s">
        <v>309</v>
      </c>
      <c r="CE93">
        <v>2772</v>
      </c>
      <c r="CF93">
        <v>0</v>
      </c>
      <c r="CH93" t="s">
        <v>309</v>
      </c>
      <c r="CI93">
        <v>2772</v>
      </c>
      <c r="CJ93">
        <v>0</v>
      </c>
    </row>
    <row r="94" spans="1:88" x14ac:dyDescent="0.3">
      <c r="A94" t="s">
        <v>308</v>
      </c>
      <c r="B94" t="s">
        <v>95</v>
      </c>
      <c r="C94" t="s">
        <v>309</v>
      </c>
      <c r="D94">
        <f t="shared" si="16"/>
        <v>32508.55</v>
      </c>
      <c r="E94">
        <f t="shared" si="17"/>
        <v>20722</v>
      </c>
      <c r="F94" s="75">
        <f t="shared" si="18"/>
        <v>-2000</v>
      </c>
      <c r="G94" t="s">
        <v>372</v>
      </c>
      <c r="H94">
        <v>2000</v>
      </c>
      <c r="I94">
        <v>8500</v>
      </c>
      <c r="J94" s="75">
        <f t="shared" si="20"/>
        <v>-8500</v>
      </c>
      <c r="L94" t="s">
        <v>296</v>
      </c>
      <c r="M94">
        <v>8600</v>
      </c>
      <c r="N94">
        <v>9500</v>
      </c>
      <c r="P94" t="s">
        <v>296</v>
      </c>
      <c r="Q94">
        <v>8600</v>
      </c>
      <c r="R94">
        <v>9500</v>
      </c>
      <c r="T94" t="s">
        <v>296</v>
      </c>
      <c r="U94">
        <v>8600</v>
      </c>
      <c r="V94">
        <v>9500</v>
      </c>
      <c r="X94" t="s">
        <v>296</v>
      </c>
      <c r="Y94">
        <v>8600</v>
      </c>
      <c r="Z94">
        <v>9500</v>
      </c>
      <c r="AB94" t="s">
        <v>373</v>
      </c>
      <c r="AC94"/>
      <c r="AD94"/>
      <c r="AG94" t="s">
        <v>373</v>
      </c>
      <c r="AL94" t="s">
        <v>373</v>
      </c>
      <c r="AP94" t="s">
        <v>298</v>
      </c>
      <c r="AQ94">
        <v>33870.89</v>
      </c>
      <c r="AR94">
        <v>20425.43</v>
      </c>
      <c r="AT94" t="s">
        <v>298</v>
      </c>
      <c r="AU94">
        <v>33870.89</v>
      </c>
      <c r="AV94">
        <v>20425.43</v>
      </c>
      <c r="AX94" t="s">
        <v>375</v>
      </c>
      <c r="AY94">
        <v>33870.89</v>
      </c>
      <c r="AZ94">
        <v>20425.43</v>
      </c>
      <c r="BB94" t="s">
        <v>375</v>
      </c>
      <c r="BC94">
        <v>36928.69</v>
      </c>
      <c r="BD94">
        <v>20425.43</v>
      </c>
      <c r="BF94" t="s">
        <v>375</v>
      </c>
      <c r="BG94">
        <v>31890.54</v>
      </c>
      <c r="BH94">
        <v>19650.48</v>
      </c>
      <c r="BJ94" t="s">
        <v>376</v>
      </c>
      <c r="BN94" t="s">
        <v>377</v>
      </c>
      <c r="BO94">
        <v>525</v>
      </c>
      <c r="BP94">
        <v>525</v>
      </c>
      <c r="BQ94">
        <f t="shared" si="19"/>
        <v>-8500</v>
      </c>
      <c r="BR94" t="s">
        <v>67</v>
      </c>
      <c r="BS94">
        <v>8000</v>
      </c>
      <c r="BT94">
        <v>12455</v>
      </c>
      <c r="BV94" t="s">
        <v>67</v>
      </c>
      <c r="BW94">
        <v>8000</v>
      </c>
      <c r="BX94">
        <v>12455</v>
      </c>
      <c r="BZ94" t="s">
        <v>310</v>
      </c>
      <c r="CA94">
        <v>26584.5</v>
      </c>
      <c r="CB94">
        <v>0</v>
      </c>
      <c r="CD94" t="s">
        <v>310</v>
      </c>
      <c r="CE94">
        <v>26584.5</v>
      </c>
      <c r="CF94">
        <v>0</v>
      </c>
      <c r="CH94" t="s">
        <v>310</v>
      </c>
      <c r="CI94">
        <v>26584.5</v>
      </c>
      <c r="CJ94">
        <v>0</v>
      </c>
    </row>
    <row r="95" spans="1:88" x14ac:dyDescent="0.3">
      <c r="A95" t="s">
        <v>308</v>
      </c>
      <c r="B95" t="s">
        <v>96</v>
      </c>
      <c r="C95" t="s">
        <v>310</v>
      </c>
      <c r="D95">
        <f t="shared" si="16"/>
        <v>47611.5</v>
      </c>
      <c r="E95">
        <f t="shared" si="17"/>
        <v>46157</v>
      </c>
      <c r="F95" s="75">
        <f t="shared" si="18"/>
        <v>0</v>
      </c>
      <c r="G95" t="s">
        <v>296</v>
      </c>
      <c r="H95">
        <v>8600</v>
      </c>
      <c r="I95">
        <v>9500</v>
      </c>
      <c r="J95" s="75">
        <f t="shared" si="20"/>
        <v>0</v>
      </c>
      <c r="L95" t="s">
        <v>373</v>
      </c>
      <c r="P95" t="s">
        <v>373</v>
      </c>
      <c r="T95" t="s">
        <v>373</v>
      </c>
      <c r="X95" t="s">
        <v>373</v>
      </c>
      <c r="AB95" t="s">
        <v>374</v>
      </c>
      <c r="AC95"/>
      <c r="AD95"/>
      <c r="AG95" t="s">
        <v>374</v>
      </c>
      <c r="AL95" t="s">
        <v>374</v>
      </c>
      <c r="AP95" t="s">
        <v>375</v>
      </c>
      <c r="AQ95">
        <v>33870.89</v>
      </c>
      <c r="AR95">
        <v>20425.43</v>
      </c>
      <c r="AT95" t="s">
        <v>375</v>
      </c>
      <c r="AU95">
        <v>33870.89</v>
      </c>
      <c r="AV95">
        <v>20425.43</v>
      </c>
      <c r="AX95" t="s">
        <v>376</v>
      </c>
      <c r="BB95" t="s">
        <v>376</v>
      </c>
      <c r="BF95" t="s">
        <v>376</v>
      </c>
      <c r="BJ95" t="s">
        <v>377</v>
      </c>
      <c r="BK95">
        <v>525</v>
      </c>
      <c r="BL95">
        <v>1175</v>
      </c>
      <c r="BN95" t="s">
        <v>299</v>
      </c>
      <c r="BO95">
        <v>525</v>
      </c>
      <c r="BP95">
        <v>525</v>
      </c>
      <c r="BQ95">
        <f t="shared" si="19"/>
        <v>0</v>
      </c>
      <c r="BR95" t="s">
        <v>301</v>
      </c>
      <c r="BS95">
        <v>120</v>
      </c>
      <c r="BT95">
        <v>188.68</v>
      </c>
      <c r="BV95" t="s">
        <v>301</v>
      </c>
      <c r="BW95">
        <v>120</v>
      </c>
      <c r="BX95">
        <v>188.68</v>
      </c>
      <c r="BZ95" t="s">
        <v>311</v>
      </c>
      <c r="CA95">
        <v>2600</v>
      </c>
      <c r="CB95">
        <v>2000</v>
      </c>
      <c r="CD95" t="s">
        <v>311</v>
      </c>
      <c r="CE95">
        <v>2600</v>
      </c>
      <c r="CF95">
        <v>2000</v>
      </c>
      <c r="CH95" t="s">
        <v>311</v>
      </c>
      <c r="CI95">
        <v>2600</v>
      </c>
      <c r="CJ95">
        <v>2000</v>
      </c>
    </row>
    <row r="96" spans="1:88" x14ac:dyDescent="0.3">
      <c r="A96" t="s">
        <v>308</v>
      </c>
      <c r="B96" t="s">
        <v>101</v>
      </c>
      <c r="C96" t="s">
        <v>311</v>
      </c>
      <c r="D96">
        <f t="shared" si="16"/>
        <v>36900</v>
      </c>
      <c r="E96">
        <f t="shared" si="17"/>
        <v>24600</v>
      </c>
      <c r="F96" s="75">
        <f t="shared" si="18"/>
        <v>0</v>
      </c>
      <c r="G96" t="s">
        <v>373</v>
      </c>
      <c r="J96" s="75">
        <f t="shared" si="20"/>
        <v>0</v>
      </c>
      <c r="L96" t="s">
        <v>374</v>
      </c>
      <c r="P96" t="s">
        <v>374</v>
      </c>
      <c r="T96" t="s">
        <v>374</v>
      </c>
      <c r="X96" t="s">
        <v>374</v>
      </c>
      <c r="AB96" t="s">
        <v>298</v>
      </c>
      <c r="AC96">
        <v>48610.71</v>
      </c>
      <c r="AD96">
        <v>32614.75</v>
      </c>
      <c r="AG96" t="s">
        <v>298</v>
      </c>
      <c r="AH96">
        <v>43735.92</v>
      </c>
      <c r="AI96">
        <v>32614.75</v>
      </c>
      <c r="AL96" t="s">
        <v>298</v>
      </c>
      <c r="AM96">
        <v>38425.18</v>
      </c>
      <c r="AN96">
        <v>22960.3</v>
      </c>
      <c r="AP96" t="s">
        <v>376</v>
      </c>
      <c r="AT96" t="s">
        <v>376</v>
      </c>
      <c r="AX96" t="s">
        <v>377</v>
      </c>
      <c r="AY96">
        <v>1575</v>
      </c>
      <c r="AZ96">
        <v>1700</v>
      </c>
      <c r="BB96" t="s">
        <v>377</v>
      </c>
      <c r="BC96">
        <v>1575</v>
      </c>
      <c r="BD96">
        <v>1175</v>
      </c>
      <c r="BF96" t="s">
        <v>377</v>
      </c>
      <c r="BG96">
        <v>1575</v>
      </c>
      <c r="BH96">
        <v>1175</v>
      </c>
      <c r="BJ96" t="s">
        <v>539</v>
      </c>
      <c r="BK96">
        <v>1050</v>
      </c>
      <c r="BL96">
        <v>0</v>
      </c>
      <c r="BN96" t="s">
        <v>380</v>
      </c>
      <c r="BQ96">
        <f t="shared" si="19"/>
        <v>0</v>
      </c>
      <c r="BR96" t="s">
        <v>381</v>
      </c>
      <c r="BS96">
        <v>8120</v>
      </c>
      <c r="BT96">
        <v>12643.68</v>
      </c>
      <c r="BV96" t="s">
        <v>381</v>
      </c>
      <c r="BW96">
        <v>8120</v>
      </c>
      <c r="BX96">
        <v>12643.68</v>
      </c>
      <c r="BZ96" t="s">
        <v>313</v>
      </c>
      <c r="CA96">
        <v>125</v>
      </c>
      <c r="CB96">
        <v>85.58</v>
      </c>
      <c r="CD96" t="s">
        <v>313</v>
      </c>
      <c r="CE96">
        <v>125</v>
      </c>
      <c r="CF96">
        <v>85.58</v>
      </c>
      <c r="CH96" t="s">
        <v>313</v>
      </c>
      <c r="CI96">
        <v>125</v>
      </c>
      <c r="CJ96">
        <v>85.58</v>
      </c>
    </row>
    <row r="97" spans="1:88" x14ac:dyDescent="0.3">
      <c r="A97" t="s">
        <v>308</v>
      </c>
      <c r="B97" t="s">
        <v>99</v>
      </c>
      <c r="C97" t="s">
        <v>312</v>
      </c>
      <c r="D97">
        <f t="shared" si="16"/>
        <v>0</v>
      </c>
      <c r="E97">
        <f t="shared" si="17"/>
        <v>1050</v>
      </c>
      <c r="F97" s="75">
        <f t="shared" si="18"/>
        <v>0</v>
      </c>
      <c r="G97" t="s">
        <v>374</v>
      </c>
      <c r="J97" s="75">
        <f t="shared" si="20"/>
        <v>0</v>
      </c>
      <c r="L97" t="s">
        <v>298</v>
      </c>
      <c r="M97">
        <v>53011.86</v>
      </c>
      <c r="N97">
        <v>42750.73</v>
      </c>
      <c r="P97" t="s">
        <v>298</v>
      </c>
      <c r="Q97">
        <v>53011.86</v>
      </c>
      <c r="R97">
        <v>42750.73</v>
      </c>
      <c r="T97" t="s">
        <v>298</v>
      </c>
      <c r="U97">
        <v>53011.86</v>
      </c>
      <c r="V97">
        <v>42750.73</v>
      </c>
      <c r="X97" t="s">
        <v>298</v>
      </c>
      <c r="Y97">
        <v>53011.86</v>
      </c>
      <c r="Z97">
        <v>42750.73</v>
      </c>
      <c r="AB97" t="s">
        <v>375</v>
      </c>
      <c r="AC97">
        <v>48610.71</v>
      </c>
      <c r="AD97">
        <v>32614.75</v>
      </c>
      <c r="AG97" t="s">
        <v>375</v>
      </c>
      <c r="AH97">
        <v>43735.92</v>
      </c>
      <c r="AI97">
        <v>32614.75</v>
      </c>
      <c r="AL97" t="s">
        <v>375</v>
      </c>
      <c r="AM97">
        <v>38425.18</v>
      </c>
      <c r="AN97">
        <v>22960.3</v>
      </c>
      <c r="AP97" t="s">
        <v>377</v>
      </c>
      <c r="AQ97">
        <v>1575</v>
      </c>
      <c r="AR97">
        <v>1700</v>
      </c>
      <c r="AT97" t="s">
        <v>377</v>
      </c>
      <c r="AU97">
        <v>1575</v>
      </c>
      <c r="AV97">
        <v>1700</v>
      </c>
      <c r="AX97" t="s">
        <v>299</v>
      </c>
      <c r="AY97">
        <v>1575</v>
      </c>
      <c r="AZ97">
        <v>1700</v>
      </c>
      <c r="BB97" t="s">
        <v>299</v>
      </c>
      <c r="BC97">
        <v>1575</v>
      </c>
      <c r="BD97">
        <v>1175</v>
      </c>
      <c r="BF97" t="s">
        <v>299</v>
      </c>
      <c r="BG97">
        <v>1575</v>
      </c>
      <c r="BH97">
        <v>1175</v>
      </c>
      <c r="BJ97" t="s">
        <v>299</v>
      </c>
      <c r="BK97">
        <v>1575</v>
      </c>
      <c r="BL97">
        <v>1175</v>
      </c>
      <c r="BN97" t="s">
        <v>67</v>
      </c>
      <c r="BO97">
        <v>16000</v>
      </c>
      <c r="BP97">
        <v>12455</v>
      </c>
      <c r="BQ97">
        <f t="shared" si="19"/>
        <v>0</v>
      </c>
      <c r="BR97" t="s">
        <v>382</v>
      </c>
      <c r="BV97" t="s">
        <v>382</v>
      </c>
      <c r="BZ97" t="s">
        <v>100</v>
      </c>
      <c r="CA97">
        <v>725</v>
      </c>
      <c r="CB97">
        <v>600</v>
      </c>
      <c r="CD97" t="s">
        <v>100</v>
      </c>
      <c r="CE97">
        <v>725</v>
      </c>
      <c r="CF97">
        <v>600</v>
      </c>
      <c r="CH97" t="s">
        <v>100</v>
      </c>
      <c r="CI97">
        <v>725</v>
      </c>
      <c r="CJ97">
        <v>600</v>
      </c>
    </row>
    <row r="98" spans="1:88" x14ac:dyDescent="0.3">
      <c r="A98" t="s">
        <v>308</v>
      </c>
      <c r="B98" t="s">
        <v>98</v>
      </c>
      <c r="C98" t="s">
        <v>313</v>
      </c>
      <c r="D98">
        <f t="shared" si="16"/>
        <v>313281.5</v>
      </c>
      <c r="E98">
        <f t="shared" si="17"/>
        <v>302342.43</v>
      </c>
      <c r="F98" s="75">
        <f t="shared" si="18"/>
        <v>0</v>
      </c>
      <c r="G98" t="s">
        <v>298</v>
      </c>
      <c r="H98">
        <v>53011.86</v>
      </c>
      <c r="I98">
        <v>42750.73</v>
      </c>
      <c r="J98" s="75">
        <f t="shared" si="20"/>
        <v>0</v>
      </c>
      <c r="L98" t="s">
        <v>375</v>
      </c>
      <c r="M98">
        <v>53011.86</v>
      </c>
      <c r="N98">
        <v>42750.73</v>
      </c>
      <c r="P98" t="s">
        <v>375</v>
      </c>
      <c r="Q98">
        <v>53011.86</v>
      </c>
      <c r="R98">
        <v>42750.73</v>
      </c>
      <c r="T98" t="s">
        <v>375</v>
      </c>
      <c r="U98">
        <v>53011.86</v>
      </c>
      <c r="V98">
        <v>42750.73</v>
      </c>
      <c r="X98" t="s">
        <v>375</v>
      </c>
      <c r="Y98">
        <v>53011.86</v>
      </c>
      <c r="Z98">
        <v>42750.73</v>
      </c>
      <c r="AB98" t="s">
        <v>376</v>
      </c>
      <c r="AC98"/>
      <c r="AD98"/>
      <c r="AG98" t="s">
        <v>376</v>
      </c>
      <c r="AL98" t="s">
        <v>376</v>
      </c>
      <c r="AP98" t="s">
        <v>299</v>
      </c>
      <c r="AQ98">
        <v>1575</v>
      </c>
      <c r="AR98">
        <v>1700</v>
      </c>
      <c r="AT98" t="s">
        <v>299</v>
      </c>
      <c r="AU98">
        <v>1575</v>
      </c>
      <c r="AV98">
        <v>1700</v>
      </c>
      <c r="AX98" t="s">
        <v>378</v>
      </c>
      <c r="BB98" t="s">
        <v>378</v>
      </c>
      <c r="BF98" t="s">
        <v>380</v>
      </c>
      <c r="BJ98" t="s">
        <v>380</v>
      </c>
      <c r="BN98" t="s">
        <v>301</v>
      </c>
      <c r="BO98">
        <v>876.45</v>
      </c>
      <c r="BP98">
        <v>1083.72</v>
      </c>
      <c r="BQ98">
        <f t="shared" si="19"/>
        <v>0</v>
      </c>
      <c r="BR98" t="s">
        <v>302</v>
      </c>
      <c r="BS98">
        <v>41892.720000000001</v>
      </c>
      <c r="BT98">
        <v>26707.54</v>
      </c>
      <c r="BV98" t="s">
        <v>302</v>
      </c>
      <c r="BW98">
        <v>41892.720000000001</v>
      </c>
      <c r="BX98">
        <v>26707.54</v>
      </c>
      <c r="BZ98" t="s">
        <v>389</v>
      </c>
      <c r="CA98">
        <v>32806.5</v>
      </c>
      <c r="CB98">
        <v>2685.58</v>
      </c>
      <c r="CD98" t="s">
        <v>389</v>
      </c>
      <c r="CE98">
        <v>32806.5</v>
      </c>
      <c r="CF98">
        <v>2685.58</v>
      </c>
      <c r="CH98" t="s">
        <v>389</v>
      </c>
      <c r="CI98">
        <v>32806.5</v>
      </c>
      <c r="CJ98">
        <v>2685.58</v>
      </c>
    </row>
    <row r="99" spans="1:88" x14ac:dyDescent="0.3">
      <c r="A99" t="s">
        <v>308</v>
      </c>
      <c r="B99" t="s">
        <v>97</v>
      </c>
      <c r="C99" t="s">
        <v>289</v>
      </c>
      <c r="D99">
        <f t="shared" ref="D99:D120" si="21">SUMIFS(H:H,G:G,C99)</f>
        <v>28320</v>
      </c>
      <c r="E99">
        <f t="shared" ref="E99:E120" si="22">SUMIFS(I:I,G:G,C99)</f>
        <v>24340</v>
      </c>
      <c r="F99" s="75">
        <f t="shared" si="18"/>
        <v>-53011.86</v>
      </c>
      <c r="G99" t="s">
        <v>375</v>
      </c>
      <c r="H99">
        <v>53011.86</v>
      </c>
      <c r="I99">
        <v>42750.73</v>
      </c>
      <c r="J99" s="75">
        <f t="shared" si="20"/>
        <v>-42750.73</v>
      </c>
      <c r="L99" t="s">
        <v>376</v>
      </c>
      <c r="P99" t="s">
        <v>376</v>
      </c>
      <c r="T99" t="s">
        <v>376</v>
      </c>
      <c r="X99" t="s">
        <v>376</v>
      </c>
      <c r="AB99" t="s">
        <v>377</v>
      </c>
      <c r="AC99">
        <v>1575</v>
      </c>
      <c r="AD99">
        <v>2225</v>
      </c>
      <c r="AG99" t="s">
        <v>377</v>
      </c>
      <c r="AH99">
        <v>1575</v>
      </c>
      <c r="AI99">
        <v>2225</v>
      </c>
      <c r="AL99" t="s">
        <v>377</v>
      </c>
      <c r="AM99">
        <v>1575</v>
      </c>
      <c r="AN99">
        <v>1700</v>
      </c>
      <c r="AP99" t="s">
        <v>378</v>
      </c>
      <c r="AT99" t="s">
        <v>378</v>
      </c>
      <c r="AX99" t="s">
        <v>74</v>
      </c>
      <c r="AY99">
        <v>4989.96</v>
      </c>
      <c r="AZ99">
        <v>3000</v>
      </c>
      <c r="BB99" t="s">
        <v>74</v>
      </c>
      <c r="BC99">
        <v>332.96</v>
      </c>
      <c r="BD99">
        <v>3000</v>
      </c>
      <c r="BF99" t="s">
        <v>67</v>
      </c>
      <c r="BG99">
        <v>28875</v>
      </c>
      <c r="BH99">
        <v>20455</v>
      </c>
      <c r="BJ99" t="s">
        <v>67</v>
      </c>
      <c r="BK99">
        <v>20275</v>
      </c>
      <c r="BL99">
        <v>16455</v>
      </c>
      <c r="BN99" t="s">
        <v>381</v>
      </c>
      <c r="BO99">
        <v>16876.45</v>
      </c>
      <c r="BP99">
        <v>13538.72</v>
      </c>
      <c r="BQ99">
        <f t="shared" si="19"/>
        <v>-42750.73</v>
      </c>
      <c r="BR99" t="s">
        <v>383</v>
      </c>
      <c r="BS99">
        <v>41892.720000000001</v>
      </c>
      <c r="BT99">
        <v>26707.54</v>
      </c>
      <c r="BV99" t="s">
        <v>383</v>
      </c>
      <c r="BW99">
        <v>41892.720000000001</v>
      </c>
      <c r="BX99">
        <v>26707.54</v>
      </c>
      <c r="BZ99" t="s">
        <v>314</v>
      </c>
      <c r="CA99">
        <v>3500</v>
      </c>
      <c r="CB99">
        <v>7500</v>
      </c>
      <c r="CD99" t="s">
        <v>314</v>
      </c>
      <c r="CE99">
        <v>3500</v>
      </c>
      <c r="CF99">
        <v>7500</v>
      </c>
      <c r="CH99" t="s">
        <v>314</v>
      </c>
      <c r="CI99">
        <v>3500</v>
      </c>
      <c r="CJ99">
        <v>7500</v>
      </c>
    </row>
    <row r="100" spans="1:88" x14ac:dyDescent="0.3">
      <c r="A100" t="s">
        <v>308</v>
      </c>
      <c r="B100" t="s">
        <v>100</v>
      </c>
      <c r="C100" t="s">
        <v>100</v>
      </c>
      <c r="D100">
        <f t="shared" si="21"/>
        <v>4735</v>
      </c>
      <c r="E100">
        <f t="shared" si="22"/>
        <v>2975</v>
      </c>
      <c r="F100" s="75">
        <f t="shared" si="18"/>
        <v>0</v>
      </c>
      <c r="G100" t="s">
        <v>376</v>
      </c>
      <c r="J100" s="75">
        <f t="shared" si="20"/>
        <v>0</v>
      </c>
      <c r="L100" t="s">
        <v>377</v>
      </c>
      <c r="M100">
        <v>4125.3999999999996</v>
      </c>
      <c r="N100">
        <v>2750</v>
      </c>
      <c r="P100" t="s">
        <v>377</v>
      </c>
      <c r="Q100">
        <v>1575</v>
      </c>
      <c r="R100">
        <v>2750</v>
      </c>
      <c r="T100" t="s">
        <v>377</v>
      </c>
      <c r="U100">
        <v>1575</v>
      </c>
      <c r="V100">
        <v>2750</v>
      </c>
      <c r="X100" t="s">
        <v>377</v>
      </c>
      <c r="Y100">
        <v>1575</v>
      </c>
      <c r="Z100">
        <v>2750</v>
      </c>
      <c r="AB100" t="s">
        <v>539</v>
      </c>
      <c r="AC100">
        <v>525</v>
      </c>
      <c r="AD100">
        <v>0</v>
      </c>
      <c r="AG100" t="s">
        <v>539</v>
      </c>
      <c r="AH100">
        <v>525</v>
      </c>
      <c r="AI100">
        <v>0</v>
      </c>
      <c r="AL100" t="s">
        <v>299</v>
      </c>
      <c r="AM100">
        <v>1575</v>
      </c>
      <c r="AN100">
        <v>1700</v>
      </c>
      <c r="AP100" t="s">
        <v>74</v>
      </c>
      <c r="AQ100">
        <v>4989.96</v>
      </c>
      <c r="AR100">
        <v>3000</v>
      </c>
      <c r="AT100" t="s">
        <v>74</v>
      </c>
      <c r="AU100">
        <v>4989.96</v>
      </c>
      <c r="AV100">
        <v>3000</v>
      </c>
      <c r="AX100" t="s">
        <v>379</v>
      </c>
      <c r="AY100">
        <v>4989.96</v>
      </c>
      <c r="AZ100">
        <v>3000</v>
      </c>
      <c r="BB100" t="s">
        <v>379</v>
      </c>
      <c r="BC100">
        <v>332.96</v>
      </c>
      <c r="BD100">
        <v>3000</v>
      </c>
      <c r="BF100" t="s">
        <v>301</v>
      </c>
      <c r="BG100">
        <v>1419.95</v>
      </c>
      <c r="BH100">
        <v>1522.6</v>
      </c>
      <c r="BJ100" t="s">
        <v>301</v>
      </c>
      <c r="BK100">
        <v>1419.95</v>
      </c>
      <c r="BL100">
        <v>1083.72</v>
      </c>
      <c r="BN100" t="s">
        <v>382</v>
      </c>
      <c r="BQ100">
        <f t="shared" si="19"/>
        <v>0</v>
      </c>
      <c r="BR100" t="s">
        <v>384</v>
      </c>
      <c r="BV100" t="s">
        <v>384</v>
      </c>
      <c r="BZ100" t="s">
        <v>390</v>
      </c>
      <c r="CD100" t="s">
        <v>390</v>
      </c>
      <c r="CH100" t="s">
        <v>390</v>
      </c>
    </row>
    <row r="101" spans="1:88" x14ac:dyDescent="0.3">
      <c r="A101" t="s">
        <v>253</v>
      </c>
      <c r="B101" t="s">
        <v>18</v>
      </c>
      <c r="C101" t="s">
        <v>314</v>
      </c>
      <c r="D101">
        <f t="shared" si="21"/>
        <v>42000</v>
      </c>
      <c r="E101">
        <f t="shared" si="22"/>
        <v>42500</v>
      </c>
      <c r="F101" s="75">
        <f t="shared" si="18"/>
        <v>-4125.3999999999996</v>
      </c>
      <c r="G101" t="s">
        <v>377</v>
      </c>
      <c r="H101">
        <v>4125.3999999999996</v>
      </c>
      <c r="I101">
        <v>2750</v>
      </c>
      <c r="J101" s="75">
        <f t="shared" si="20"/>
        <v>-2750</v>
      </c>
      <c r="L101" t="s">
        <v>539</v>
      </c>
      <c r="M101">
        <v>1050</v>
      </c>
      <c r="N101">
        <v>0</v>
      </c>
      <c r="P101" t="s">
        <v>539</v>
      </c>
      <c r="Q101">
        <v>1050</v>
      </c>
      <c r="R101">
        <v>0</v>
      </c>
      <c r="T101" t="s">
        <v>539</v>
      </c>
      <c r="U101">
        <v>1050</v>
      </c>
      <c r="V101">
        <v>0</v>
      </c>
      <c r="X101" t="s">
        <v>539</v>
      </c>
      <c r="Y101">
        <v>1050</v>
      </c>
      <c r="Z101">
        <v>0</v>
      </c>
      <c r="AB101" t="s">
        <v>299</v>
      </c>
      <c r="AC101">
        <v>2100</v>
      </c>
      <c r="AD101">
        <v>2225</v>
      </c>
      <c r="AG101" t="s">
        <v>299</v>
      </c>
      <c r="AH101">
        <v>2100</v>
      </c>
      <c r="AI101">
        <v>2225</v>
      </c>
      <c r="AL101" t="s">
        <v>378</v>
      </c>
      <c r="AP101" t="s">
        <v>379</v>
      </c>
      <c r="AQ101">
        <v>4989.96</v>
      </c>
      <c r="AR101">
        <v>3000</v>
      </c>
      <c r="AT101" t="s">
        <v>379</v>
      </c>
      <c r="AU101">
        <v>4989.96</v>
      </c>
      <c r="AV101">
        <v>3000</v>
      </c>
      <c r="AX101" t="s">
        <v>380</v>
      </c>
      <c r="BB101" t="s">
        <v>380</v>
      </c>
      <c r="BF101" t="s">
        <v>381</v>
      </c>
      <c r="BG101">
        <v>30294.95</v>
      </c>
      <c r="BH101">
        <v>21977.599999999999</v>
      </c>
      <c r="BJ101" t="s">
        <v>381</v>
      </c>
      <c r="BK101">
        <v>21694.95</v>
      </c>
      <c r="BL101">
        <v>17538.72</v>
      </c>
      <c r="BN101" t="s">
        <v>302</v>
      </c>
      <c r="BO101">
        <v>52617.11</v>
      </c>
      <c r="BP101">
        <v>63614.81</v>
      </c>
      <c r="BQ101">
        <f t="shared" si="19"/>
        <v>-2750</v>
      </c>
      <c r="BR101" t="s">
        <v>78</v>
      </c>
      <c r="BS101">
        <v>0</v>
      </c>
      <c r="BT101">
        <v>5500</v>
      </c>
      <c r="BV101" t="s">
        <v>78</v>
      </c>
      <c r="BW101">
        <v>0</v>
      </c>
      <c r="BX101">
        <v>5500</v>
      </c>
      <c r="BZ101" t="s">
        <v>320</v>
      </c>
      <c r="CA101">
        <v>14175</v>
      </c>
      <c r="CB101">
        <v>0</v>
      </c>
      <c r="CD101" t="s">
        <v>320</v>
      </c>
      <c r="CE101">
        <v>14175</v>
      </c>
      <c r="CF101">
        <v>0</v>
      </c>
      <c r="CH101" t="s">
        <v>320</v>
      </c>
      <c r="CI101">
        <v>14175</v>
      </c>
      <c r="CJ101">
        <v>0</v>
      </c>
    </row>
    <row r="102" spans="1:88" x14ac:dyDescent="0.3">
      <c r="A102" t="s">
        <v>262</v>
      </c>
      <c r="B102" t="s">
        <v>88</v>
      </c>
      <c r="C102" t="s">
        <v>315</v>
      </c>
      <c r="D102">
        <f t="shared" si="21"/>
        <v>387.6</v>
      </c>
      <c r="E102">
        <f t="shared" si="22"/>
        <v>2620.7800000000002</v>
      </c>
      <c r="F102" s="75">
        <f t="shared" ref="F102:F133" si="23">SUMIFS(D:D,C:C,G102)-H102</f>
        <v>-1050</v>
      </c>
      <c r="G102" t="s">
        <v>539</v>
      </c>
      <c r="H102">
        <v>1050</v>
      </c>
      <c r="I102">
        <v>0</v>
      </c>
      <c r="J102" s="75">
        <f t="shared" si="20"/>
        <v>0</v>
      </c>
      <c r="L102" t="s">
        <v>299</v>
      </c>
      <c r="M102">
        <v>5175.3999999999996</v>
      </c>
      <c r="N102">
        <v>2750</v>
      </c>
      <c r="P102" t="s">
        <v>299</v>
      </c>
      <c r="Q102">
        <v>2625</v>
      </c>
      <c r="R102">
        <v>2750</v>
      </c>
      <c r="T102" t="s">
        <v>299</v>
      </c>
      <c r="U102">
        <v>2625</v>
      </c>
      <c r="V102">
        <v>2750</v>
      </c>
      <c r="X102" t="s">
        <v>299</v>
      </c>
      <c r="Y102">
        <v>2625</v>
      </c>
      <c r="Z102">
        <v>2750</v>
      </c>
      <c r="AB102" t="s">
        <v>378</v>
      </c>
      <c r="AC102"/>
      <c r="AD102"/>
      <c r="AG102" t="s">
        <v>378</v>
      </c>
      <c r="AL102" t="s">
        <v>300</v>
      </c>
      <c r="AM102">
        <v>0</v>
      </c>
      <c r="AN102">
        <v>3542.54</v>
      </c>
      <c r="AP102" t="s">
        <v>380</v>
      </c>
      <c r="AT102" t="s">
        <v>380</v>
      </c>
      <c r="AX102" t="s">
        <v>67</v>
      </c>
      <c r="AY102">
        <v>41085</v>
      </c>
      <c r="AZ102">
        <v>28455</v>
      </c>
      <c r="BB102" t="s">
        <v>67</v>
      </c>
      <c r="BC102">
        <v>37085</v>
      </c>
      <c r="BD102">
        <v>24455</v>
      </c>
      <c r="BF102" t="s">
        <v>382</v>
      </c>
      <c r="BJ102" t="s">
        <v>382</v>
      </c>
      <c r="BN102" t="s">
        <v>383</v>
      </c>
      <c r="BO102">
        <v>52617.11</v>
      </c>
      <c r="BP102">
        <v>63614.81</v>
      </c>
      <c r="BQ102">
        <f t="shared" ref="BQ102:BQ133" si="24">SUMIFS(E:E,C:C,G102)-I102</f>
        <v>0</v>
      </c>
      <c r="BR102" t="s">
        <v>77</v>
      </c>
      <c r="BS102">
        <v>0</v>
      </c>
      <c r="BT102">
        <v>5500</v>
      </c>
      <c r="BV102" t="s">
        <v>77</v>
      </c>
      <c r="BW102">
        <v>0</v>
      </c>
      <c r="BX102">
        <v>5500</v>
      </c>
      <c r="BZ102" t="s">
        <v>321</v>
      </c>
      <c r="CA102">
        <v>250</v>
      </c>
      <c r="CB102">
        <v>0</v>
      </c>
      <c r="CD102" t="s">
        <v>321</v>
      </c>
      <c r="CE102">
        <v>250</v>
      </c>
      <c r="CF102">
        <v>0</v>
      </c>
      <c r="CH102" t="s">
        <v>321</v>
      </c>
      <c r="CI102">
        <v>250</v>
      </c>
      <c r="CJ102">
        <v>0</v>
      </c>
    </row>
    <row r="103" spans="1:88" x14ac:dyDescent="0.3">
      <c r="A103" t="s">
        <v>262</v>
      </c>
      <c r="B103" t="s">
        <v>316</v>
      </c>
      <c r="C103" t="s">
        <v>317</v>
      </c>
      <c r="D103">
        <f t="shared" si="21"/>
        <v>0</v>
      </c>
      <c r="E103">
        <f t="shared" si="22"/>
        <v>0</v>
      </c>
      <c r="F103" s="75">
        <f t="shared" si="23"/>
        <v>0</v>
      </c>
      <c r="G103" t="s">
        <v>299</v>
      </c>
      <c r="H103">
        <v>5175.3999999999996</v>
      </c>
      <c r="I103">
        <v>2750</v>
      </c>
      <c r="J103" s="75">
        <f t="shared" si="20"/>
        <v>0</v>
      </c>
      <c r="L103" t="s">
        <v>378</v>
      </c>
      <c r="P103" t="s">
        <v>378</v>
      </c>
      <c r="T103" t="s">
        <v>378</v>
      </c>
      <c r="X103" t="s">
        <v>378</v>
      </c>
      <c r="AB103" t="s">
        <v>300</v>
      </c>
      <c r="AC103">
        <v>6120</v>
      </c>
      <c r="AD103">
        <v>27142.54</v>
      </c>
      <c r="AG103" t="s">
        <v>300</v>
      </c>
      <c r="AH103">
        <v>0</v>
      </c>
      <c r="AI103">
        <v>16142.54</v>
      </c>
      <c r="AL103" t="s">
        <v>74</v>
      </c>
      <c r="AM103">
        <v>5878.83</v>
      </c>
      <c r="AN103">
        <v>3320</v>
      </c>
      <c r="AP103" t="s">
        <v>67</v>
      </c>
      <c r="AQ103">
        <v>41085</v>
      </c>
      <c r="AR103">
        <v>28455</v>
      </c>
      <c r="AT103" t="s">
        <v>67</v>
      </c>
      <c r="AU103">
        <v>41085</v>
      </c>
      <c r="AV103">
        <v>28455</v>
      </c>
      <c r="AX103" t="s">
        <v>301</v>
      </c>
      <c r="AY103">
        <v>4547.17</v>
      </c>
      <c r="AZ103">
        <v>1407.72</v>
      </c>
      <c r="BB103" t="s">
        <v>301</v>
      </c>
      <c r="BC103">
        <v>1419.95</v>
      </c>
      <c r="BD103">
        <v>1522.6</v>
      </c>
      <c r="BF103" t="s">
        <v>302</v>
      </c>
      <c r="BG103">
        <v>125504.61</v>
      </c>
      <c r="BH103">
        <v>119993.03</v>
      </c>
      <c r="BJ103" t="s">
        <v>302</v>
      </c>
      <c r="BK103">
        <v>73286.31</v>
      </c>
      <c r="BL103">
        <v>93443.41</v>
      </c>
      <c r="BN103" t="s">
        <v>384</v>
      </c>
      <c r="BQ103">
        <f t="shared" si="24"/>
        <v>0</v>
      </c>
      <c r="BR103" t="s">
        <v>79</v>
      </c>
      <c r="BS103">
        <v>0</v>
      </c>
      <c r="BT103">
        <v>1100</v>
      </c>
      <c r="BV103" t="s">
        <v>79</v>
      </c>
      <c r="BW103">
        <v>0</v>
      </c>
      <c r="BX103">
        <v>1100</v>
      </c>
      <c r="BZ103" t="s">
        <v>322</v>
      </c>
      <c r="CA103">
        <v>1371.9</v>
      </c>
      <c r="CB103">
        <v>196.81</v>
      </c>
      <c r="CD103" t="s">
        <v>322</v>
      </c>
      <c r="CE103">
        <v>1371.9</v>
      </c>
      <c r="CF103">
        <v>196.81</v>
      </c>
      <c r="CH103" t="s">
        <v>322</v>
      </c>
      <c r="CI103">
        <v>1371.9</v>
      </c>
      <c r="CJ103">
        <v>196.81</v>
      </c>
    </row>
    <row r="104" spans="1:88" x14ac:dyDescent="0.3">
      <c r="A104" t="s">
        <v>262</v>
      </c>
      <c r="B104" t="s">
        <v>90</v>
      </c>
      <c r="C104" t="s">
        <v>318</v>
      </c>
      <c r="D104">
        <f t="shared" si="21"/>
        <v>10174.31</v>
      </c>
      <c r="E104">
        <f t="shared" si="22"/>
        <v>3934</v>
      </c>
      <c r="F104" s="75">
        <f t="shared" si="23"/>
        <v>0</v>
      </c>
      <c r="G104" t="s">
        <v>378</v>
      </c>
      <c r="J104" s="75">
        <f t="shared" si="20"/>
        <v>0</v>
      </c>
      <c r="L104" t="s">
        <v>300</v>
      </c>
      <c r="M104">
        <v>6120</v>
      </c>
      <c r="N104">
        <v>24182.57</v>
      </c>
      <c r="P104" t="s">
        <v>300</v>
      </c>
      <c r="Q104">
        <v>6120</v>
      </c>
      <c r="R104">
        <v>24182.57</v>
      </c>
      <c r="T104" t="s">
        <v>300</v>
      </c>
      <c r="U104">
        <v>6120</v>
      </c>
      <c r="V104">
        <v>24182.57</v>
      </c>
      <c r="X104" t="s">
        <v>300</v>
      </c>
      <c r="Y104">
        <v>6120</v>
      </c>
      <c r="Z104">
        <v>24182.57</v>
      </c>
      <c r="AB104" t="s">
        <v>74</v>
      </c>
      <c r="AC104">
        <v>6083.83</v>
      </c>
      <c r="AD104">
        <v>6354.44</v>
      </c>
      <c r="AG104" t="s">
        <v>74</v>
      </c>
      <c r="AH104">
        <v>5878.83</v>
      </c>
      <c r="AI104">
        <v>5059.45</v>
      </c>
      <c r="AL104" t="s">
        <v>379</v>
      </c>
      <c r="AM104">
        <v>5878.83</v>
      </c>
      <c r="AN104">
        <v>6862.54</v>
      </c>
      <c r="AP104" t="s">
        <v>301</v>
      </c>
      <c r="AQ104">
        <v>5504.46</v>
      </c>
      <c r="AR104">
        <v>1407.72</v>
      </c>
      <c r="AT104" t="s">
        <v>301</v>
      </c>
      <c r="AU104">
        <v>5504.46</v>
      </c>
      <c r="AV104">
        <v>1407.72</v>
      </c>
      <c r="AX104" t="s">
        <v>381</v>
      </c>
      <c r="AY104">
        <v>45632.17</v>
      </c>
      <c r="AZ104">
        <v>29862.720000000001</v>
      </c>
      <c r="BB104" t="s">
        <v>381</v>
      </c>
      <c r="BC104">
        <v>38504.949999999997</v>
      </c>
      <c r="BD104">
        <v>25977.599999999999</v>
      </c>
      <c r="BF104" t="s">
        <v>383</v>
      </c>
      <c r="BG104">
        <v>125504.61</v>
      </c>
      <c r="BH104">
        <v>119993.03</v>
      </c>
      <c r="BJ104" t="s">
        <v>383</v>
      </c>
      <c r="BK104">
        <v>73286.31</v>
      </c>
      <c r="BL104">
        <v>93443.41</v>
      </c>
      <c r="BN104" t="s">
        <v>78</v>
      </c>
      <c r="BO104">
        <v>0</v>
      </c>
      <c r="BP104">
        <v>5500</v>
      </c>
      <c r="BQ104">
        <f t="shared" si="24"/>
        <v>0</v>
      </c>
      <c r="BR104" t="s">
        <v>385</v>
      </c>
      <c r="BS104">
        <v>0</v>
      </c>
      <c r="BT104">
        <v>12100</v>
      </c>
      <c r="BV104" t="s">
        <v>385</v>
      </c>
      <c r="BW104">
        <v>0</v>
      </c>
      <c r="BX104">
        <v>12100</v>
      </c>
      <c r="BZ104" t="s">
        <v>391</v>
      </c>
      <c r="CA104">
        <v>15796.9</v>
      </c>
      <c r="CB104">
        <v>196.81</v>
      </c>
      <c r="CD104" t="s">
        <v>391</v>
      </c>
      <c r="CE104">
        <v>15796.9</v>
      </c>
      <c r="CF104">
        <v>196.81</v>
      </c>
      <c r="CH104" t="s">
        <v>391</v>
      </c>
      <c r="CI104">
        <v>15796.9</v>
      </c>
      <c r="CJ104">
        <v>196.81</v>
      </c>
    </row>
    <row r="105" spans="1:88" x14ac:dyDescent="0.3">
      <c r="A105" t="s">
        <v>262</v>
      </c>
      <c r="B105" t="s">
        <v>89</v>
      </c>
      <c r="C105" t="s">
        <v>319</v>
      </c>
      <c r="D105">
        <f t="shared" si="21"/>
        <v>6040</v>
      </c>
      <c r="E105">
        <f t="shared" si="22"/>
        <v>5940</v>
      </c>
      <c r="F105" s="75">
        <f t="shared" si="23"/>
        <v>0</v>
      </c>
      <c r="G105" t="s">
        <v>300</v>
      </c>
      <c r="H105">
        <v>6120</v>
      </c>
      <c r="I105">
        <v>24182.57</v>
      </c>
      <c r="J105" s="75">
        <f t="shared" si="20"/>
        <v>0</v>
      </c>
      <c r="L105" t="s">
        <v>74</v>
      </c>
      <c r="M105">
        <v>7872.9</v>
      </c>
      <c r="N105">
        <v>6354.44</v>
      </c>
      <c r="P105" t="s">
        <v>74</v>
      </c>
      <c r="Q105">
        <v>7733.83</v>
      </c>
      <c r="R105">
        <v>6354.44</v>
      </c>
      <c r="T105" t="s">
        <v>74</v>
      </c>
      <c r="U105">
        <v>7733.83</v>
      </c>
      <c r="V105">
        <v>6354.44</v>
      </c>
      <c r="X105" t="s">
        <v>74</v>
      </c>
      <c r="Y105">
        <v>7733.83</v>
      </c>
      <c r="Z105">
        <v>6354.44</v>
      </c>
      <c r="AB105" t="s">
        <v>379</v>
      </c>
      <c r="AC105">
        <v>12203.83</v>
      </c>
      <c r="AD105">
        <v>33496.980000000003</v>
      </c>
      <c r="AG105" t="s">
        <v>379</v>
      </c>
      <c r="AH105">
        <v>5878.83</v>
      </c>
      <c r="AI105">
        <v>21201.99</v>
      </c>
      <c r="AL105" t="s">
        <v>380</v>
      </c>
      <c r="AP105" t="s">
        <v>381</v>
      </c>
      <c r="AQ105">
        <v>46589.46</v>
      </c>
      <c r="AR105">
        <v>29862.720000000001</v>
      </c>
      <c r="AT105" t="s">
        <v>381</v>
      </c>
      <c r="AU105">
        <v>46589.46</v>
      </c>
      <c r="AV105">
        <v>29862.720000000001</v>
      </c>
      <c r="AX105" t="s">
        <v>382</v>
      </c>
      <c r="BB105" t="s">
        <v>382</v>
      </c>
      <c r="BF105" t="s">
        <v>384</v>
      </c>
      <c r="BJ105" t="s">
        <v>384</v>
      </c>
      <c r="BN105" t="s">
        <v>77</v>
      </c>
      <c r="BO105">
        <v>0</v>
      </c>
      <c r="BP105">
        <v>5500</v>
      </c>
      <c r="BQ105">
        <f t="shared" si="24"/>
        <v>0</v>
      </c>
      <c r="BR105" t="s">
        <v>386</v>
      </c>
      <c r="BS105">
        <v>72674.89</v>
      </c>
      <c r="BT105">
        <v>63584.51</v>
      </c>
      <c r="BV105" t="s">
        <v>386</v>
      </c>
      <c r="BW105">
        <v>72674.89</v>
      </c>
      <c r="BX105">
        <v>63584.51</v>
      </c>
      <c r="BZ105" t="s">
        <v>392</v>
      </c>
      <c r="CA105">
        <v>52103.4</v>
      </c>
      <c r="CB105">
        <v>10382.39</v>
      </c>
      <c r="CD105" t="s">
        <v>392</v>
      </c>
      <c r="CE105">
        <v>52103.4</v>
      </c>
      <c r="CF105">
        <v>10382.39</v>
      </c>
      <c r="CH105" t="s">
        <v>392</v>
      </c>
      <c r="CI105">
        <v>52103.4</v>
      </c>
      <c r="CJ105">
        <v>10382.39</v>
      </c>
    </row>
    <row r="106" spans="1:88" x14ac:dyDescent="0.3">
      <c r="A106" t="s">
        <v>262</v>
      </c>
      <c r="B106" t="s">
        <v>91</v>
      </c>
      <c r="C106" t="s">
        <v>320</v>
      </c>
      <c r="D106">
        <f t="shared" si="21"/>
        <v>16925</v>
      </c>
      <c r="E106">
        <f t="shared" si="22"/>
        <v>19000</v>
      </c>
      <c r="F106" s="75">
        <f t="shared" si="23"/>
        <v>0</v>
      </c>
      <c r="G106" t="s">
        <v>74</v>
      </c>
      <c r="H106">
        <v>7872.9</v>
      </c>
      <c r="I106">
        <v>6354.44</v>
      </c>
      <c r="J106" s="75">
        <f t="shared" si="20"/>
        <v>0</v>
      </c>
      <c r="L106" t="s">
        <v>379</v>
      </c>
      <c r="M106">
        <v>13992.9</v>
      </c>
      <c r="N106">
        <v>30537.01</v>
      </c>
      <c r="P106" t="s">
        <v>379</v>
      </c>
      <c r="Q106">
        <v>13853.83</v>
      </c>
      <c r="R106">
        <v>30537.01</v>
      </c>
      <c r="T106" t="s">
        <v>379</v>
      </c>
      <c r="U106">
        <v>13853.83</v>
      </c>
      <c r="V106">
        <v>30537.01</v>
      </c>
      <c r="X106" t="s">
        <v>379</v>
      </c>
      <c r="Y106">
        <v>13853.83</v>
      </c>
      <c r="Z106">
        <v>30537.01</v>
      </c>
      <c r="AB106" t="s">
        <v>380</v>
      </c>
      <c r="AC106"/>
      <c r="AD106"/>
      <c r="AG106" t="s">
        <v>380</v>
      </c>
      <c r="AL106" t="s">
        <v>67</v>
      </c>
      <c r="AM106">
        <v>45085</v>
      </c>
      <c r="AN106">
        <v>36455</v>
      </c>
      <c r="AP106" t="s">
        <v>382</v>
      </c>
      <c r="AT106" t="s">
        <v>382</v>
      </c>
      <c r="AX106" t="s">
        <v>302</v>
      </c>
      <c r="AY106">
        <v>163930.97</v>
      </c>
      <c r="AZ106">
        <v>167701.84</v>
      </c>
      <c r="BB106" t="s">
        <v>302</v>
      </c>
      <c r="BC106">
        <v>129077.68</v>
      </c>
      <c r="BD106">
        <v>150532.91</v>
      </c>
      <c r="BF106" t="s">
        <v>78</v>
      </c>
      <c r="BG106">
        <v>0</v>
      </c>
      <c r="BH106">
        <v>5500</v>
      </c>
      <c r="BJ106" t="s">
        <v>78</v>
      </c>
      <c r="BK106">
        <v>0</v>
      </c>
      <c r="BL106">
        <v>5500</v>
      </c>
      <c r="BN106" t="s">
        <v>79</v>
      </c>
      <c r="BO106">
        <v>0</v>
      </c>
      <c r="BP106">
        <v>1650</v>
      </c>
      <c r="BQ106">
        <f t="shared" si="24"/>
        <v>0</v>
      </c>
      <c r="BR106" t="s">
        <v>387</v>
      </c>
      <c r="BV106" t="s">
        <v>387</v>
      </c>
      <c r="BZ106" t="s">
        <v>206</v>
      </c>
      <c r="CD106" t="s">
        <v>206</v>
      </c>
      <c r="CH106" t="s">
        <v>206</v>
      </c>
    </row>
    <row r="107" spans="1:88" x14ac:dyDescent="0.3">
      <c r="A107" t="s">
        <v>262</v>
      </c>
      <c r="B107" t="s">
        <v>92</v>
      </c>
      <c r="C107" t="s">
        <v>321</v>
      </c>
      <c r="D107">
        <f t="shared" si="21"/>
        <v>4460</v>
      </c>
      <c r="E107">
        <f t="shared" si="22"/>
        <v>500</v>
      </c>
      <c r="F107" s="75">
        <f t="shared" si="23"/>
        <v>-13992.9</v>
      </c>
      <c r="G107" t="s">
        <v>379</v>
      </c>
      <c r="H107">
        <v>13992.9</v>
      </c>
      <c r="I107">
        <v>30537.01</v>
      </c>
      <c r="J107" s="75">
        <f t="shared" si="20"/>
        <v>-30537.01</v>
      </c>
      <c r="L107" t="s">
        <v>380</v>
      </c>
      <c r="P107" t="s">
        <v>380</v>
      </c>
      <c r="T107" t="s">
        <v>380</v>
      </c>
      <c r="X107" t="s">
        <v>380</v>
      </c>
      <c r="AB107" t="s">
        <v>67</v>
      </c>
      <c r="AC107">
        <v>53851.77</v>
      </c>
      <c r="AD107">
        <v>44455</v>
      </c>
      <c r="AG107" t="s">
        <v>67</v>
      </c>
      <c r="AH107">
        <v>49851.77</v>
      </c>
      <c r="AI107">
        <v>40455</v>
      </c>
      <c r="AL107" t="s">
        <v>301</v>
      </c>
      <c r="AM107">
        <v>5504.46</v>
      </c>
      <c r="AN107">
        <v>4115.57</v>
      </c>
      <c r="AP107" t="s">
        <v>302</v>
      </c>
      <c r="AQ107">
        <v>163930.97</v>
      </c>
      <c r="AR107">
        <v>167701.84</v>
      </c>
      <c r="AT107" t="s">
        <v>302</v>
      </c>
      <c r="AU107">
        <v>163930.97</v>
      </c>
      <c r="AV107">
        <v>167701.84</v>
      </c>
      <c r="AX107" t="s">
        <v>383</v>
      </c>
      <c r="AY107">
        <v>163930.97</v>
      </c>
      <c r="AZ107">
        <v>167701.84</v>
      </c>
      <c r="BB107" t="s">
        <v>383</v>
      </c>
      <c r="BC107">
        <v>129077.68</v>
      </c>
      <c r="BD107">
        <v>150532.91</v>
      </c>
      <c r="BF107" t="s">
        <v>77</v>
      </c>
      <c r="BG107">
        <v>2500</v>
      </c>
      <c r="BH107">
        <v>5500</v>
      </c>
      <c r="BJ107" t="s">
        <v>77</v>
      </c>
      <c r="BK107">
        <v>2500</v>
      </c>
      <c r="BL107">
        <v>5500</v>
      </c>
      <c r="BN107" t="s">
        <v>385</v>
      </c>
      <c r="BO107">
        <v>0</v>
      </c>
      <c r="BP107">
        <v>12650</v>
      </c>
      <c r="BQ107">
        <f t="shared" si="24"/>
        <v>-30537.01</v>
      </c>
      <c r="BR107" t="s">
        <v>306</v>
      </c>
      <c r="BS107">
        <v>3413.35</v>
      </c>
      <c r="BT107">
        <v>0</v>
      </c>
      <c r="BV107" t="s">
        <v>306</v>
      </c>
      <c r="BW107">
        <v>3413.35</v>
      </c>
      <c r="BX107">
        <v>0</v>
      </c>
      <c r="BZ107" t="s">
        <v>325</v>
      </c>
      <c r="CA107">
        <v>9289.9</v>
      </c>
      <c r="CB107">
        <v>4755.79</v>
      </c>
      <c r="CD107" t="s">
        <v>325</v>
      </c>
      <c r="CE107">
        <v>9289.9</v>
      </c>
      <c r="CF107">
        <v>4755.79</v>
      </c>
      <c r="CH107" t="s">
        <v>325</v>
      </c>
      <c r="CI107">
        <v>9289.9</v>
      </c>
      <c r="CJ107">
        <v>4755.79</v>
      </c>
    </row>
    <row r="108" spans="1:88" x14ac:dyDescent="0.3">
      <c r="A108" t="s">
        <v>253</v>
      </c>
      <c r="B108" t="s">
        <v>234</v>
      </c>
      <c r="C108" t="s">
        <v>322</v>
      </c>
      <c r="D108">
        <f t="shared" si="21"/>
        <v>22935.18</v>
      </c>
      <c r="E108">
        <f t="shared" si="22"/>
        <v>10686.28</v>
      </c>
      <c r="F108" s="75">
        <f t="shared" si="23"/>
        <v>0</v>
      </c>
      <c r="G108" t="s">
        <v>380</v>
      </c>
      <c r="J108" s="75">
        <f t="shared" si="20"/>
        <v>0</v>
      </c>
      <c r="L108" t="s">
        <v>67</v>
      </c>
      <c r="M108">
        <v>57851.77</v>
      </c>
      <c r="N108">
        <v>48455</v>
      </c>
      <c r="P108" t="s">
        <v>67</v>
      </c>
      <c r="Q108">
        <v>57851.77</v>
      </c>
      <c r="R108">
        <v>48455</v>
      </c>
      <c r="T108" t="s">
        <v>67</v>
      </c>
      <c r="U108">
        <v>57851.77</v>
      </c>
      <c r="V108">
        <v>48455</v>
      </c>
      <c r="X108" t="s">
        <v>67</v>
      </c>
      <c r="Y108">
        <v>57851.77</v>
      </c>
      <c r="Z108">
        <v>48455</v>
      </c>
      <c r="AB108" t="s">
        <v>301</v>
      </c>
      <c r="AC108">
        <v>5504.46</v>
      </c>
      <c r="AD108">
        <v>6043.11</v>
      </c>
      <c r="AG108" t="s">
        <v>301</v>
      </c>
      <c r="AH108">
        <v>5504.46</v>
      </c>
      <c r="AI108">
        <v>5662.31</v>
      </c>
      <c r="AL108" t="s">
        <v>381</v>
      </c>
      <c r="AM108">
        <v>50589.46</v>
      </c>
      <c r="AN108">
        <v>40570.57</v>
      </c>
      <c r="AP108" t="s">
        <v>383</v>
      </c>
      <c r="AQ108">
        <v>163930.97</v>
      </c>
      <c r="AR108">
        <v>167701.84</v>
      </c>
      <c r="AT108" t="s">
        <v>383</v>
      </c>
      <c r="AU108">
        <v>163930.97</v>
      </c>
      <c r="AV108">
        <v>167701.84</v>
      </c>
      <c r="AX108" t="s">
        <v>384</v>
      </c>
      <c r="BB108" t="s">
        <v>384</v>
      </c>
      <c r="BF108" t="s">
        <v>79</v>
      </c>
      <c r="BG108">
        <v>0</v>
      </c>
      <c r="BH108">
        <v>1650</v>
      </c>
      <c r="BJ108" t="s">
        <v>79</v>
      </c>
      <c r="BK108">
        <v>0</v>
      </c>
      <c r="BL108">
        <v>1650</v>
      </c>
      <c r="BN108" t="s">
        <v>386</v>
      </c>
      <c r="BO108">
        <v>98742.46</v>
      </c>
      <c r="BP108">
        <v>106551.15</v>
      </c>
      <c r="BQ108">
        <f t="shared" si="24"/>
        <v>0</v>
      </c>
      <c r="BR108" t="s">
        <v>307</v>
      </c>
      <c r="BS108">
        <v>0</v>
      </c>
      <c r="BT108">
        <v>350</v>
      </c>
      <c r="BV108" t="s">
        <v>307</v>
      </c>
      <c r="BW108">
        <v>0</v>
      </c>
      <c r="BX108">
        <v>350</v>
      </c>
      <c r="BZ108" t="s">
        <v>327</v>
      </c>
      <c r="CA108">
        <v>3397.5</v>
      </c>
      <c r="CB108">
        <v>5250</v>
      </c>
      <c r="CD108" t="s">
        <v>327</v>
      </c>
      <c r="CE108">
        <v>3397.5</v>
      </c>
      <c r="CF108">
        <v>5250</v>
      </c>
      <c r="CH108" t="s">
        <v>327</v>
      </c>
      <c r="CI108">
        <v>3397.5</v>
      </c>
      <c r="CJ108">
        <v>5250</v>
      </c>
    </row>
    <row r="109" spans="1:88" x14ac:dyDescent="0.3">
      <c r="A109" t="s">
        <v>262</v>
      </c>
      <c r="B109" t="s">
        <v>323</v>
      </c>
      <c r="C109" t="s">
        <v>323</v>
      </c>
      <c r="D109">
        <f t="shared" si="21"/>
        <v>0</v>
      </c>
      <c r="E109">
        <f t="shared" si="22"/>
        <v>0</v>
      </c>
      <c r="F109" s="75">
        <f t="shared" si="23"/>
        <v>0</v>
      </c>
      <c r="G109" t="s">
        <v>67</v>
      </c>
      <c r="H109">
        <v>57851.77</v>
      </c>
      <c r="I109">
        <v>48455</v>
      </c>
      <c r="J109" s="75">
        <f t="shared" si="20"/>
        <v>0</v>
      </c>
      <c r="L109" t="s">
        <v>301</v>
      </c>
      <c r="M109">
        <v>5754.36</v>
      </c>
      <c r="N109">
        <v>7520.78</v>
      </c>
      <c r="P109" t="s">
        <v>301</v>
      </c>
      <c r="Q109">
        <v>5754.36</v>
      </c>
      <c r="R109">
        <v>7520.78</v>
      </c>
      <c r="T109" t="s">
        <v>301</v>
      </c>
      <c r="U109">
        <v>5754.36</v>
      </c>
      <c r="V109">
        <v>7520.78</v>
      </c>
      <c r="X109" t="s">
        <v>301</v>
      </c>
      <c r="Y109">
        <v>5754.36</v>
      </c>
      <c r="Z109">
        <v>7520.78</v>
      </c>
      <c r="AB109" t="s">
        <v>381</v>
      </c>
      <c r="AC109">
        <v>59356.23</v>
      </c>
      <c r="AD109">
        <v>50498.11</v>
      </c>
      <c r="AG109" t="s">
        <v>381</v>
      </c>
      <c r="AH109">
        <v>55356.23</v>
      </c>
      <c r="AI109">
        <v>46117.31</v>
      </c>
      <c r="AL109" t="s">
        <v>382</v>
      </c>
      <c r="AP109" t="s">
        <v>384</v>
      </c>
      <c r="AT109" t="s">
        <v>384</v>
      </c>
      <c r="AX109" t="s">
        <v>78</v>
      </c>
      <c r="AY109">
        <v>0</v>
      </c>
      <c r="AZ109">
        <v>5500</v>
      </c>
      <c r="BB109" t="s">
        <v>78</v>
      </c>
      <c r="BC109">
        <v>0</v>
      </c>
      <c r="BD109">
        <v>5500</v>
      </c>
      <c r="BF109" t="s">
        <v>385</v>
      </c>
      <c r="BG109">
        <v>2500</v>
      </c>
      <c r="BH109">
        <v>12650</v>
      </c>
      <c r="BJ109" t="s">
        <v>385</v>
      </c>
      <c r="BK109">
        <v>2500</v>
      </c>
      <c r="BL109">
        <v>12650</v>
      </c>
      <c r="BN109" t="s">
        <v>387</v>
      </c>
      <c r="BQ109">
        <f t="shared" si="24"/>
        <v>0</v>
      </c>
      <c r="BR109" t="s">
        <v>388</v>
      </c>
      <c r="BV109" t="s">
        <v>388</v>
      </c>
      <c r="BZ109" t="s">
        <v>328</v>
      </c>
      <c r="CA109">
        <v>2939.25</v>
      </c>
      <c r="CB109">
        <v>2842.25</v>
      </c>
      <c r="CD109" t="s">
        <v>328</v>
      </c>
      <c r="CE109">
        <v>2939.25</v>
      </c>
      <c r="CF109">
        <v>2842.25</v>
      </c>
      <c r="CH109" t="s">
        <v>328</v>
      </c>
      <c r="CI109">
        <v>2939.25</v>
      </c>
      <c r="CJ109">
        <v>2842.25</v>
      </c>
    </row>
    <row r="110" spans="1:88" x14ac:dyDescent="0.3">
      <c r="A110" t="s">
        <v>253</v>
      </c>
      <c r="B110" t="s">
        <v>17</v>
      </c>
      <c r="C110" t="s">
        <v>324</v>
      </c>
      <c r="D110">
        <f t="shared" si="21"/>
        <v>41756.94</v>
      </c>
      <c r="E110">
        <f t="shared" si="22"/>
        <v>7093.42</v>
      </c>
      <c r="F110" s="75">
        <f t="shared" si="23"/>
        <v>0</v>
      </c>
      <c r="G110" t="s">
        <v>301</v>
      </c>
      <c r="H110">
        <v>5754.36</v>
      </c>
      <c r="I110">
        <v>7520.78</v>
      </c>
      <c r="J110" s="75">
        <f t="shared" si="20"/>
        <v>0</v>
      </c>
      <c r="L110" t="s">
        <v>381</v>
      </c>
      <c r="M110">
        <v>63606.13</v>
      </c>
      <c r="N110">
        <v>55975.78</v>
      </c>
      <c r="P110" t="s">
        <v>381</v>
      </c>
      <c r="Q110">
        <v>63606.13</v>
      </c>
      <c r="R110">
        <v>55975.78</v>
      </c>
      <c r="T110" t="s">
        <v>381</v>
      </c>
      <c r="U110">
        <v>63606.13</v>
      </c>
      <c r="V110">
        <v>55975.78</v>
      </c>
      <c r="X110" t="s">
        <v>381</v>
      </c>
      <c r="Y110">
        <v>63606.13</v>
      </c>
      <c r="Z110">
        <v>55975.78</v>
      </c>
      <c r="AB110" t="s">
        <v>382</v>
      </c>
      <c r="AC110"/>
      <c r="AD110"/>
      <c r="AG110" t="s">
        <v>382</v>
      </c>
      <c r="AL110" t="s">
        <v>302</v>
      </c>
      <c r="AM110">
        <v>167288.35999999999</v>
      </c>
      <c r="AN110">
        <v>175322.18</v>
      </c>
      <c r="AP110" t="s">
        <v>78</v>
      </c>
      <c r="AQ110">
        <v>0</v>
      </c>
      <c r="AR110">
        <v>5500</v>
      </c>
      <c r="AT110" t="s">
        <v>78</v>
      </c>
      <c r="AU110">
        <v>0</v>
      </c>
      <c r="AV110">
        <v>5500</v>
      </c>
      <c r="AX110" t="s">
        <v>77</v>
      </c>
      <c r="AY110">
        <v>2500</v>
      </c>
      <c r="AZ110">
        <v>5500</v>
      </c>
      <c r="BB110" t="s">
        <v>77</v>
      </c>
      <c r="BC110">
        <v>2500</v>
      </c>
      <c r="BD110">
        <v>5500</v>
      </c>
      <c r="BF110" t="s">
        <v>386</v>
      </c>
      <c r="BG110">
        <v>191765.1</v>
      </c>
      <c r="BH110">
        <v>175446.11</v>
      </c>
      <c r="BJ110" t="s">
        <v>386</v>
      </c>
      <c r="BK110">
        <v>130946.8</v>
      </c>
      <c r="BL110">
        <v>144457.60999999999</v>
      </c>
      <c r="BN110" t="s">
        <v>306</v>
      </c>
      <c r="BO110">
        <v>3551.5</v>
      </c>
      <c r="BP110">
        <v>0</v>
      </c>
      <c r="BQ110">
        <f t="shared" si="24"/>
        <v>0</v>
      </c>
      <c r="BR110" t="s">
        <v>309</v>
      </c>
      <c r="BS110">
        <v>2772</v>
      </c>
      <c r="BT110">
        <v>6472</v>
      </c>
      <c r="BV110" t="s">
        <v>309</v>
      </c>
      <c r="BW110">
        <v>2772</v>
      </c>
      <c r="BX110">
        <v>6472</v>
      </c>
      <c r="BZ110" t="s">
        <v>393</v>
      </c>
      <c r="CD110" t="s">
        <v>393</v>
      </c>
      <c r="CH110" t="s">
        <v>393</v>
      </c>
    </row>
    <row r="111" spans="1:88" x14ac:dyDescent="0.3">
      <c r="A111" t="s">
        <v>253</v>
      </c>
      <c r="B111" t="s">
        <v>42</v>
      </c>
      <c r="C111" t="s">
        <v>325</v>
      </c>
      <c r="D111">
        <f t="shared" si="21"/>
        <v>19431.98</v>
      </c>
      <c r="E111">
        <f t="shared" si="22"/>
        <v>15228.72</v>
      </c>
      <c r="F111" s="75">
        <f t="shared" si="23"/>
        <v>-63606.13</v>
      </c>
      <c r="G111" t="s">
        <v>381</v>
      </c>
      <c r="H111">
        <v>63606.13</v>
      </c>
      <c r="I111">
        <v>55975.78</v>
      </c>
      <c r="J111" s="75">
        <f t="shared" si="20"/>
        <v>-55975.78</v>
      </c>
      <c r="L111" t="s">
        <v>382</v>
      </c>
      <c r="P111" t="s">
        <v>382</v>
      </c>
      <c r="T111" t="s">
        <v>382</v>
      </c>
      <c r="X111" t="s">
        <v>382</v>
      </c>
      <c r="AB111" t="s">
        <v>302</v>
      </c>
      <c r="AC111">
        <v>189494.05</v>
      </c>
      <c r="AD111">
        <v>212251.1</v>
      </c>
      <c r="AG111" t="s">
        <v>302</v>
      </c>
      <c r="AH111">
        <v>187927.2</v>
      </c>
      <c r="AI111">
        <v>201712.77</v>
      </c>
      <c r="AL111" t="s">
        <v>383</v>
      </c>
      <c r="AM111">
        <v>167288.35999999999</v>
      </c>
      <c r="AN111">
        <v>175322.18</v>
      </c>
      <c r="AP111" t="s">
        <v>77</v>
      </c>
      <c r="AQ111">
        <v>2500</v>
      </c>
      <c r="AR111">
        <v>5500</v>
      </c>
      <c r="AT111" t="s">
        <v>77</v>
      </c>
      <c r="AU111">
        <v>2500</v>
      </c>
      <c r="AV111">
        <v>5500</v>
      </c>
      <c r="AX111" t="s">
        <v>79</v>
      </c>
      <c r="AY111">
        <v>1000</v>
      </c>
      <c r="AZ111">
        <v>1650</v>
      </c>
      <c r="BB111" t="s">
        <v>79</v>
      </c>
      <c r="BC111">
        <v>1000</v>
      </c>
      <c r="BD111">
        <v>1650</v>
      </c>
      <c r="BF111" t="s">
        <v>387</v>
      </c>
      <c r="BJ111" t="s">
        <v>387</v>
      </c>
      <c r="BN111" t="s">
        <v>307</v>
      </c>
      <c r="BO111">
        <v>0</v>
      </c>
      <c r="BP111">
        <v>350</v>
      </c>
      <c r="BQ111">
        <f t="shared" si="24"/>
        <v>-55975.78</v>
      </c>
      <c r="BR111" t="s">
        <v>310</v>
      </c>
      <c r="BS111">
        <v>26584.5</v>
      </c>
      <c r="BT111">
        <v>2772</v>
      </c>
      <c r="BV111" t="s">
        <v>310</v>
      </c>
      <c r="BW111">
        <v>26584.5</v>
      </c>
      <c r="BX111">
        <v>2772</v>
      </c>
      <c r="BZ111" t="s">
        <v>329</v>
      </c>
      <c r="CA111">
        <v>725</v>
      </c>
      <c r="CB111">
        <v>0</v>
      </c>
      <c r="CD111" t="s">
        <v>329</v>
      </c>
      <c r="CE111">
        <v>725</v>
      </c>
      <c r="CF111">
        <v>0</v>
      </c>
      <c r="CH111" t="s">
        <v>329</v>
      </c>
      <c r="CI111">
        <v>725</v>
      </c>
      <c r="CJ111">
        <v>0</v>
      </c>
    </row>
    <row r="112" spans="1:88" x14ac:dyDescent="0.3">
      <c r="A112" t="s">
        <v>253</v>
      </c>
      <c r="B112" t="s">
        <v>36</v>
      </c>
      <c r="C112" t="s">
        <v>326</v>
      </c>
      <c r="D112">
        <f t="shared" si="21"/>
        <v>0</v>
      </c>
      <c r="E112">
        <f t="shared" si="22"/>
        <v>0</v>
      </c>
      <c r="F112" s="75">
        <f t="shared" si="23"/>
        <v>0</v>
      </c>
      <c r="G112" t="s">
        <v>382</v>
      </c>
      <c r="J112" s="75">
        <f t="shared" si="20"/>
        <v>0</v>
      </c>
      <c r="L112" t="s">
        <v>302</v>
      </c>
      <c r="M112">
        <v>232202.93</v>
      </c>
      <c r="N112">
        <v>245171.63</v>
      </c>
      <c r="P112" t="s">
        <v>302</v>
      </c>
      <c r="Q112">
        <v>231871.01</v>
      </c>
      <c r="R112">
        <v>245171.63</v>
      </c>
      <c r="T112" t="s">
        <v>302</v>
      </c>
      <c r="U112">
        <v>231871.01</v>
      </c>
      <c r="V112">
        <v>245171.63</v>
      </c>
      <c r="X112" t="s">
        <v>302</v>
      </c>
      <c r="Y112">
        <v>231871.01</v>
      </c>
      <c r="Z112">
        <v>245171.63</v>
      </c>
      <c r="AB112" t="s">
        <v>383</v>
      </c>
      <c r="AC112">
        <v>189494.05</v>
      </c>
      <c r="AD112">
        <v>212251.1</v>
      </c>
      <c r="AG112" t="s">
        <v>383</v>
      </c>
      <c r="AH112">
        <v>187927.2</v>
      </c>
      <c r="AI112">
        <v>201712.77</v>
      </c>
      <c r="AL112" t="s">
        <v>384</v>
      </c>
      <c r="AP112" t="s">
        <v>79</v>
      </c>
      <c r="AQ112">
        <v>1000</v>
      </c>
      <c r="AR112">
        <v>1650</v>
      </c>
      <c r="AT112" t="s">
        <v>79</v>
      </c>
      <c r="AU112">
        <v>1000</v>
      </c>
      <c r="AV112">
        <v>1650</v>
      </c>
      <c r="AX112" t="s">
        <v>385</v>
      </c>
      <c r="AY112">
        <v>3500</v>
      </c>
      <c r="AZ112">
        <v>12650</v>
      </c>
      <c r="BB112" t="s">
        <v>385</v>
      </c>
      <c r="BC112">
        <v>3500</v>
      </c>
      <c r="BD112">
        <v>12650</v>
      </c>
      <c r="BF112" t="s">
        <v>306</v>
      </c>
      <c r="BG112">
        <v>3551.5</v>
      </c>
      <c r="BH112">
        <v>0</v>
      </c>
      <c r="BJ112" t="s">
        <v>306</v>
      </c>
      <c r="BK112">
        <v>3551.5</v>
      </c>
      <c r="BL112">
        <v>0</v>
      </c>
      <c r="BN112" t="s">
        <v>388</v>
      </c>
      <c r="BQ112">
        <f t="shared" si="24"/>
        <v>0</v>
      </c>
      <c r="BR112" t="s">
        <v>311</v>
      </c>
      <c r="BS112">
        <v>6900</v>
      </c>
      <c r="BT112">
        <v>4000</v>
      </c>
      <c r="BV112" t="s">
        <v>311</v>
      </c>
      <c r="BW112">
        <v>6900</v>
      </c>
      <c r="BX112">
        <v>4000</v>
      </c>
      <c r="BZ112" t="s">
        <v>331</v>
      </c>
      <c r="CA112">
        <v>120.78</v>
      </c>
      <c r="CB112">
        <v>57.39</v>
      </c>
      <c r="CD112" t="s">
        <v>331</v>
      </c>
      <c r="CE112">
        <v>120.78</v>
      </c>
      <c r="CF112">
        <v>57.39</v>
      </c>
      <c r="CH112" t="s">
        <v>331</v>
      </c>
      <c r="CI112">
        <v>120.78</v>
      </c>
      <c r="CJ112">
        <v>57.39</v>
      </c>
    </row>
    <row r="113" spans="1:88" x14ac:dyDescent="0.3">
      <c r="A113" t="s">
        <v>253</v>
      </c>
      <c r="B113" t="s">
        <v>39</v>
      </c>
      <c r="C113" t="s">
        <v>327</v>
      </c>
      <c r="D113">
        <f t="shared" si="21"/>
        <v>9053.81</v>
      </c>
      <c r="E113">
        <f t="shared" si="22"/>
        <v>10673.06</v>
      </c>
      <c r="F113" s="75">
        <f t="shared" si="23"/>
        <v>0</v>
      </c>
      <c r="G113" t="s">
        <v>302</v>
      </c>
      <c r="H113">
        <v>237811.92</v>
      </c>
      <c r="I113">
        <v>245171.63</v>
      </c>
      <c r="J113" s="75">
        <f t="shared" si="20"/>
        <v>0</v>
      </c>
      <c r="L113" t="s">
        <v>383</v>
      </c>
      <c r="M113">
        <v>232202.93</v>
      </c>
      <c r="N113">
        <v>245171.63</v>
      </c>
      <c r="P113" t="s">
        <v>383</v>
      </c>
      <c r="Q113">
        <v>231871.01</v>
      </c>
      <c r="R113">
        <v>245171.63</v>
      </c>
      <c r="T113" t="s">
        <v>383</v>
      </c>
      <c r="U113">
        <v>231871.01</v>
      </c>
      <c r="V113">
        <v>245171.63</v>
      </c>
      <c r="X113" t="s">
        <v>383</v>
      </c>
      <c r="Y113">
        <v>231871.01</v>
      </c>
      <c r="Z113">
        <v>245171.63</v>
      </c>
      <c r="AB113" t="s">
        <v>384</v>
      </c>
      <c r="AC113"/>
      <c r="AD113"/>
      <c r="AG113" t="s">
        <v>384</v>
      </c>
      <c r="AL113" t="s">
        <v>78</v>
      </c>
      <c r="AM113">
        <v>0</v>
      </c>
      <c r="AN113">
        <v>5500</v>
      </c>
      <c r="AP113" t="s">
        <v>385</v>
      </c>
      <c r="AQ113">
        <v>3500</v>
      </c>
      <c r="AR113">
        <v>12650</v>
      </c>
      <c r="AT113" t="s">
        <v>385</v>
      </c>
      <c r="AU113">
        <v>3500</v>
      </c>
      <c r="AV113">
        <v>12650</v>
      </c>
      <c r="AX113" t="s">
        <v>386</v>
      </c>
      <c r="AY113">
        <v>253498.99</v>
      </c>
      <c r="AZ113">
        <v>235339.99</v>
      </c>
      <c r="BB113" t="s">
        <v>386</v>
      </c>
      <c r="BC113">
        <v>209919.28</v>
      </c>
      <c r="BD113">
        <v>213760.94</v>
      </c>
      <c r="BF113" t="s">
        <v>307</v>
      </c>
      <c r="BG113">
        <v>0</v>
      </c>
      <c r="BH113">
        <v>1735.01</v>
      </c>
      <c r="BJ113" t="s">
        <v>307</v>
      </c>
      <c r="BK113">
        <v>0</v>
      </c>
      <c r="BL113">
        <v>1735.01</v>
      </c>
      <c r="BN113" t="s">
        <v>309</v>
      </c>
      <c r="BO113">
        <v>7044</v>
      </c>
      <c r="BP113">
        <v>9244</v>
      </c>
      <c r="BQ113">
        <f t="shared" si="24"/>
        <v>0</v>
      </c>
      <c r="BR113" t="s">
        <v>313</v>
      </c>
      <c r="BS113">
        <v>50985.14</v>
      </c>
      <c r="BT113">
        <v>50959.85</v>
      </c>
      <c r="BV113" t="s">
        <v>313</v>
      </c>
      <c r="BW113">
        <v>50985.14</v>
      </c>
      <c r="BX113">
        <v>50959.85</v>
      </c>
      <c r="BZ113" t="s">
        <v>394</v>
      </c>
      <c r="CA113">
        <v>845.78</v>
      </c>
      <c r="CB113">
        <v>57.39</v>
      </c>
      <c r="CD113" t="s">
        <v>394</v>
      </c>
      <c r="CE113">
        <v>845.78</v>
      </c>
      <c r="CF113">
        <v>57.39</v>
      </c>
      <c r="CH113" t="s">
        <v>394</v>
      </c>
      <c r="CI113">
        <v>845.78</v>
      </c>
      <c r="CJ113">
        <v>57.39</v>
      </c>
    </row>
    <row r="114" spans="1:88" x14ac:dyDescent="0.3">
      <c r="A114" t="s">
        <v>253</v>
      </c>
      <c r="B114" t="s">
        <v>40</v>
      </c>
      <c r="C114" t="s">
        <v>328</v>
      </c>
      <c r="D114">
        <f t="shared" si="21"/>
        <v>17131</v>
      </c>
      <c r="E114">
        <f t="shared" si="22"/>
        <v>11562</v>
      </c>
      <c r="F114" s="75">
        <f t="shared" si="23"/>
        <v>-237811.92</v>
      </c>
      <c r="G114" t="s">
        <v>383</v>
      </c>
      <c r="H114">
        <v>237811.92</v>
      </c>
      <c r="I114">
        <v>245171.63</v>
      </c>
      <c r="J114" s="75">
        <f t="shared" si="20"/>
        <v>-245171.63</v>
      </c>
      <c r="L114" t="s">
        <v>384</v>
      </c>
      <c r="P114" t="s">
        <v>384</v>
      </c>
      <c r="T114" t="s">
        <v>384</v>
      </c>
      <c r="X114" t="s">
        <v>384</v>
      </c>
      <c r="AB114" t="s">
        <v>78</v>
      </c>
      <c r="AC114">
        <v>0</v>
      </c>
      <c r="AD114">
        <v>5500</v>
      </c>
      <c r="AG114" t="s">
        <v>78</v>
      </c>
      <c r="AH114">
        <v>0</v>
      </c>
      <c r="AI114">
        <v>5500</v>
      </c>
      <c r="AL114" t="s">
        <v>77</v>
      </c>
      <c r="AM114">
        <v>2500</v>
      </c>
      <c r="AN114">
        <v>5500</v>
      </c>
      <c r="AP114" t="s">
        <v>386</v>
      </c>
      <c r="AQ114">
        <v>254456.28</v>
      </c>
      <c r="AR114">
        <v>235339.99</v>
      </c>
      <c r="AT114" t="s">
        <v>386</v>
      </c>
      <c r="AU114">
        <v>254456.28</v>
      </c>
      <c r="AV114">
        <v>235339.99</v>
      </c>
      <c r="AX114" t="s">
        <v>387</v>
      </c>
      <c r="BB114" t="s">
        <v>387</v>
      </c>
      <c r="BF114" t="s">
        <v>388</v>
      </c>
      <c r="BJ114" t="s">
        <v>388</v>
      </c>
      <c r="BN114" t="s">
        <v>310</v>
      </c>
      <c r="BO114">
        <v>29356.5</v>
      </c>
      <c r="BP114">
        <v>5544</v>
      </c>
      <c r="BQ114">
        <f t="shared" si="24"/>
        <v>-245171.63</v>
      </c>
      <c r="BR114" t="s">
        <v>289</v>
      </c>
      <c r="BS114">
        <v>28320</v>
      </c>
      <c r="BT114">
        <v>0</v>
      </c>
      <c r="BV114" t="s">
        <v>289</v>
      </c>
      <c r="BW114">
        <v>28320</v>
      </c>
      <c r="BX114">
        <v>0</v>
      </c>
      <c r="BZ114" t="s">
        <v>332</v>
      </c>
      <c r="CA114">
        <v>2739.25</v>
      </c>
      <c r="CB114">
        <v>2381</v>
      </c>
      <c r="CD114" t="s">
        <v>332</v>
      </c>
      <c r="CE114">
        <v>2739.25</v>
      </c>
      <c r="CF114">
        <v>2381</v>
      </c>
      <c r="CH114" t="s">
        <v>332</v>
      </c>
      <c r="CI114">
        <v>2739.25</v>
      </c>
      <c r="CJ114">
        <v>2381</v>
      </c>
    </row>
    <row r="115" spans="1:88" x14ac:dyDescent="0.3">
      <c r="A115" t="s">
        <v>253</v>
      </c>
      <c r="B115" t="s">
        <v>37</v>
      </c>
      <c r="C115" t="s">
        <v>329</v>
      </c>
      <c r="D115">
        <f t="shared" si="21"/>
        <v>12649.98</v>
      </c>
      <c r="E115">
        <f t="shared" si="22"/>
        <v>19693.25</v>
      </c>
      <c r="F115" s="75">
        <f t="shared" si="23"/>
        <v>0</v>
      </c>
      <c r="G115" t="s">
        <v>384</v>
      </c>
      <c r="J115" s="75">
        <f t="shared" si="20"/>
        <v>0</v>
      </c>
      <c r="L115" t="s">
        <v>78</v>
      </c>
      <c r="M115">
        <v>0</v>
      </c>
      <c r="N115">
        <v>5500</v>
      </c>
      <c r="P115" t="s">
        <v>78</v>
      </c>
      <c r="Q115">
        <v>0</v>
      </c>
      <c r="R115">
        <v>5500</v>
      </c>
      <c r="T115" t="s">
        <v>78</v>
      </c>
      <c r="U115">
        <v>0</v>
      </c>
      <c r="V115">
        <v>5500</v>
      </c>
      <c r="X115" t="s">
        <v>78</v>
      </c>
      <c r="Y115">
        <v>0</v>
      </c>
      <c r="Z115">
        <v>5500</v>
      </c>
      <c r="AB115" t="s">
        <v>77</v>
      </c>
      <c r="AC115">
        <v>2500</v>
      </c>
      <c r="AD115">
        <v>5500</v>
      </c>
      <c r="AG115" t="s">
        <v>77</v>
      </c>
      <c r="AH115">
        <v>2500</v>
      </c>
      <c r="AI115">
        <v>5500</v>
      </c>
      <c r="AL115" t="s">
        <v>79</v>
      </c>
      <c r="AM115">
        <v>1000</v>
      </c>
      <c r="AN115">
        <v>1650</v>
      </c>
      <c r="AP115" t="s">
        <v>387</v>
      </c>
      <c r="AT115" t="s">
        <v>387</v>
      </c>
      <c r="AX115" t="s">
        <v>305</v>
      </c>
      <c r="AY115">
        <v>975.5</v>
      </c>
      <c r="AZ115">
        <v>0</v>
      </c>
      <c r="BB115" t="s">
        <v>306</v>
      </c>
      <c r="BC115">
        <v>3551.5</v>
      </c>
      <c r="BD115">
        <v>0</v>
      </c>
      <c r="BF115" t="s">
        <v>309</v>
      </c>
      <c r="BG115">
        <v>10216</v>
      </c>
      <c r="BH115">
        <v>13294</v>
      </c>
      <c r="BJ115" t="s">
        <v>309</v>
      </c>
      <c r="BK115">
        <v>7044</v>
      </c>
      <c r="BL115">
        <v>13294</v>
      </c>
      <c r="BN115" t="s">
        <v>311</v>
      </c>
      <c r="BO115">
        <v>8900</v>
      </c>
      <c r="BP115">
        <v>8000</v>
      </c>
      <c r="BQ115">
        <f t="shared" si="24"/>
        <v>0</v>
      </c>
      <c r="BR115" t="s">
        <v>100</v>
      </c>
      <c r="BS115">
        <v>2225</v>
      </c>
      <c r="BT115">
        <v>900</v>
      </c>
      <c r="BV115" t="s">
        <v>100</v>
      </c>
      <c r="BW115">
        <v>2225</v>
      </c>
      <c r="BX115">
        <v>900</v>
      </c>
      <c r="BZ115" t="s">
        <v>395</v>
      </c>
      <c r="CA115">
        <v>19211.68</v>
      </c>
      <c r="CB115">
        <v>15286.43</v>
      </c>
      <c r="CD115" t="s">
        <v>395</v>
      </c>
      <c r="CE115">
        <v>19211.68</v>
      </c>
      <c r="CF115">
        <v>15286.43</v>
      </c>
      <c r="CH115" t="s">
        <v>395</v>
      </c>
      <c r="CI115">
        <v>19211.68</v>
      </c>
      <c r="CJ115">
        <v>15286.43</v>
      </c>
    </row>
    <row r="116" spans="1:88" x14ac:dyDescent="0.3">
      <c r="A116" t="s">
        <v>253</v>
      </c>
      <c r="B116" t="s">
        <v>38</v>
      </c>
      <c r="C116" t="s">
        <v>330</v>
      </c>
      <c r="D116">
        <f t="shared" si="21"/>
        <v>11439.69</v>
      </c>
      <c r="E116">
        <f t="shared" si="22"/>
        <v>7524.75</v>
      </c>
      <c r="F116" s="75">
        <f t="shared" si="23"/>
        <v>0</v>
      </c>
      <c r="G116" t="s">
        <v>78</v>
      </c>
      <c r="H116">
        <v>0</v>
      </c>
      <c r="I116">
        <v>5500</v>
      </c>
      <c r="J116" s="75">
        <f t="shared" si="20"/>
        <v>0</v>
      </c>
      <c r="L116" t="s">
        <v>77</v>
      </c>
      <c r="M116">
        <v>2500</v>
      </c>
      <c r="N116">
        <v>5500</v>
      </c>
      <c r="P116" t="s">
        <v>77</v>
      </c>
      <c r="Q116">
        <v>2500</v>
      </c>
      <c r="R116">
        <v>5500</v>
      </c>
      <c r="T116" t="s">
        <v>77</v>
      </c>
      <c r="U116">
        <v>2500</v>
      </c>
      <c r="V116">
        <v>5500</v>
      </c>
      <c r="X116" t="s">
        <v>77</v>
      </c>
      <c r="Y116">
        <v>2500</v>
      </c>
      <c r="Z116">
        <v>5500</v>
      </c>
      <c r="AB116" t="s">
        <v>79</v>
      </c>
      <c r="AC116">
        <v>1000</v>
      </c>
      <c r="AD116">
        <v>1650</v>
      </c>
      <c r="AG116" t="s">
        <v>79</v>
      </c>
      <c r="AH116">
        <v>1000</v>
      </c>
      <c r="AI116">
        <v>1650</v>
      </c>
      <c r="AL116" t="s">
        <v>385</v>
      </c>
      <c r="AM116">
        <v>3500</v>
      </c>
      <c r="AN116">
        <v>12650</v>
      </c>
      <c r="AP116" t="s">
        <v>305</v>
      </c>
      <c r="AQ116">
        <v>975.5</v>
      </c>
      <c r="AR116">
        <v>0</v>
      </c>
      <c r="AT116" t="s">
        <v>305</v>
      </c>
      <c r="AU116">
        <v>975.5</v>
      </c>
      <c r="AV116">
        <v>0</v>
      </c>
      <c r="AX116" t="s">
        <v>306</v>
      </c>
      <c r="AY116">
        <v>6342.14</v>
      </c>
      <c r="AZ116">
        <v>0</v>
      </c>
      <c r="BB116" t="s">
        <v>307</v>
      </c>
      <c r="BC116">
        <v>0</v>
      </c>
      <c r="BD116">
        <v>1735.01</v>
      </c>
      <c r="BF116" t="s">
        <v>310</v>
      </c>
      <c r="BG116">
        <v>32128.5</v>
      </c>
      <c r="BH116">
        <v>5544</v>
      </c>
      <c r="BJ116" t="s">
        <v>310</v>
      </c>
      <c r="BK116">
        <v>29356.5</v>
      </c>
      <c r="BL116">
        <v>5544</v>
      </c>
      <c r="BN116" t="s">
        <v>313</v>
      </c>
      <c r="BO116">
        <v>76396.86</v>
      </c>
      <c r="BP116">
        <v>74402.929999999993</v>
      </c>
      <c r="BQ116">
        <f t="shared" si="24"/>
        <v>0</v>
      </c>
      <c r="BR116" t="s">
        <v>389</v>
      </c>
      <c r="BS116">
        <v>117786.64</v>
      </c>
      <c r="BT116">
        <v>65103.85</v>
      </c>
      <c r="BV116" t="s">
        <v>389</v>
      </c>
      <c r="BW116">
        <v>117786.64</v>
      </c>
      <c r="BX116">
        <v>65103.85</v>
      </c>
      <c r="BZ116" t="s">
        <v>396</v>
      </c>
      <c r="CA116">
        <v>97537.25</v>
      </c>
      <c r="CB116">
        <v>41233.31</v>
      </c>
      <c r="CD116" t="s">
        <v>396</v>
      </c>
      <c r="CE116">
        <v>97537.25</v>
      </c>
      <c r="CF116">
        <v>41233.31</v>
      </c>
      <c r="CH116" t="s">
        <v>396</v>
      </c>
      <c r="CI116">
        <v>97537.25</v>
      </c>
      <c r="CJ116">
        <v>41233.31</v>
      </c>
    </row>
    <row r="117" spans="1:88" x14ac:dyDescent="0.3">
      <c r="A117" t="s">
        <v>253</v>
      </c>
      <c r="B117" t="s">
        <v>43</v>
      </c>
      <c r="C117" t="s">
        <v>43</v>
      </c>
      <c r="D117">
        <f t="shared" si="21"/>
        <v>76900</v>
      </c>
      <c r="E117">
        <f t="shared" si="22"/>
        <v>35625</v>
      </c>
      <c r="F117" s="75">
        <f t="shared" si="23"/>
        <v>0</v>
      </c>
      <c r="G117" t="s">
        <v>77</v>
      </c>
      <c r="H117">
        <v>2500</v>
      </c>
      <c r="I117">
        <v>5500</v>
      </c>
      <c r="J117" s="75">
        <f t="shared" si="20"/>
        <v>0</v>
      </c>
      <c r="L117" t="s">
        <v>79</v>
      </c>
      <c r="M117">
        <v>1000</v>
      </c>
      <c r="N117">
        <v>1650</v>
      </c>
      <c r="P117" t="s">
        <v>79</v>
      </c>
      <c r="Q117">
        <v>1000</v>
      </c>
      <c r="R117">
        <v>1650</v>
      </c>
      <c r="T117" t="s">
        <v>79</v>
      </c>
      <c r="U117">
        <v>1000</v>
      </c>
      <c r="V117">
        <v>1650</v>
      </c>
      <c r="X117" t="s">
        <v>79</v>
      </c>
      <c r="Y117">
        <v>1000</v>
      </c>
      <c r="Z117">
        <v>1650</v>
      </c>
      <c r="AB117" t="s">
        <v>385</v>
      </c>
      <c r="AC117">
        <v>3500</v>
      </c>
      <c r="AD117">
        <v>12650</v>
      </c>
      <c r="AG117" t="s">
        <v>385</v>
      </c>
      <c r="AH117">
        <v>3500</v>
      </c>
      <c r="AI117">
        <v>12650</v>
      </c>
      <c r="AL117" t="s">
        <v>386</v>
      </c>
      <c r="AM117">
        <v>267256.83</v>
      </c>
      <c r="AN117">
        <v>260065.59</v>
      </c>
      <c r="AP117" t="s">
        <v>306</v>
      </c>
      <c r="AQ117">
        <v>6342.14</v>
      </c>
      <c r="AR117">
        <v>0</v>
      </c>
      <c r="AT117" t="s">
        <v>306</v>
      </c>
      <c r="AU117">
        <v>6342.14</v>
      </c>
      <c r="AV117">
        <v>0</v>
      </c>
      <c r="AX117" t="s">
        <v>307</v>
      </c>
      <c r="AY117">
        <v>0</v>
      </c>
      <c r="AZ117">
        <v>1735.01</v>
      </c>
      <c r="BB117" t="s">
        <v>388</v>
      </c>
      <c r="BF117" t="s">
        <v>311</v>
      </c>
      <c r="BG117">
        <v>16950</v>
      </c>
      <c r="BH117">
        <v>12000</v>
      </c>
      <c r="BJ117" t="s">
        <v>311</v>
      </c>
      <c r="BK117">
        <v>13300</v>
      </c>
      <c r="BL117">
        <v>8000</v>
      </c>
      <c r="BN117" t="s">
        <v>289</v>
      </c>
      <c r="BO117">
        <v>28320</v>
      </c>
      <c r="BP117">
        <v>24340</v>
      </c>
      <c r="BQ117">
        <f t="shared" si="24"/>
        <v>0</v>
      </c>
      <c r="BR117" t="s">
        <v>314</v>
      </c>
      <c r="BS117">
        <v>10500</v>
      </c>
      <c r="BT117">
        <v>11000</v>
      </c>
      <c r="BV117" t="s">
        <v>314</v>
      </c>
      <c r="BW117">
        <v>10500</v>
      </c>
      <c r="BX117">
        <v>11000</v>
      </c>
      <c r="BZ117" t="s">
        <v>397</v>
      </c>
      <c r="CA117">
        <v>202729.72</v>
      </c>
      <c r="CB117">
        <v>183962.17</v>
      </c>
      <c r="CD117" t="s">
        <v>397</v>
      </c>
      <c r="CE117">
        <v>200922.78</v>
      </c>
      <c r="CF117">
        <v>183962.17</v>
      </c>
      <c r="CH117" t="s">
        <v>397</v>
      </c>
      <c r="CI117">
        <v>200294.6</v>
      </c>
      <c r="CJ117">
        <v>183962.17</v>
      </c>
    </row>
    <row r="118" spans="1:88" x14ac:dyDescent="0.3">
      <c r="A118" t="s">
        <v>253</v>
      </c>
      <c r="B118" t="s">
        <v>38</v>
      </c>
      <c r="C118" t="s">
        <v>331</v>
      </c>
      <c r="D118">
        <f t="shared" si="21"/>
        <v>1804.71</v>
      </c>
      <c r="E118">
        <f t="shared" si="22"/>
        <v>1467.37</v>
      </c>
      <c r="F118" s="75">
        <f t="shared" si="23"/>
        <v>0</v>
      </c>
      <c r="G118" t="s">
        <v>79</v>
      </c>
      <c r="H118">
        <v>1000</v>
      </c>
      <c r="I118">
        <v>1650</v>
      </c>
      <c r="J118" s="75">
        <f t="shared" si="20"/>
        <v>0</v>
      </c>
      <c r="L118" t="s">
        <v>385</v>
      </c>
      <c r="M118">
        <v>3500</v>
      </c>
      <c r="N118">
        <v>12650</v>
      </c>
      <c r="P118" t="s">
        <v>385</v>
      </c>
      <c r="Q118">
        <v>3500</v>
      </c>
      <c r="R118">
        <v>12650</v>
      </c>
      <c r="T118" t="s">
        <v>385</v>
      </c>
      <c r="U118">
        <v>3500</v>
      </c>
      <c r="V118">
        <v>12650</v>
      </c>
      <c r="X118" t="s">
        <v>385</v>
      </c>
      <c r="Y118">
        <v>3500</v>
      </c>
      <c r="Z118">
        <v>12650</v>
      </c>
      <c r="AB118" t="s">
        <v>386</v>
      </c>
      <c r="AC118">
        <v>315264.82</v>
      </c>
      <c r="AD118">
        <v>343735.94</v>
      </c>
      <c r="AG118" t="s">
        <v>386</v>
      </c>
      <c r="AH118">
        <v>298498.18</v>
      </c>
      <c r="AI118">
        <v>316521.82</v>
      </c>
      <c r="AL118" t="s">
        <v>387</v>
      </c>
      <c r="AP118" t="s">
        <v>307</v>
      </c>
      <c r="AQ118">
        <v>0</v>
      </c>
      <c r="AR118">
        <v>1735.01</v>
      </c>
      <c r="AT118" t="s">
        <v>307</v>
      </c>
      <c r="AU118">
        <v>0</v>
      </c>
      <c r="AV118">
        <v>1735.01</v>
      </c>
      <c r="AX118" t="s">
        <v>388</v>
      </c>
      <c r="BB118" t="s">
        <v>309</v>
      </c>
      <c r="BC118">
        <v>10216</v>
      </c>
      <c r="BD118">
        <v>17506</v>
      </c>
      <c r="BF118" t="s">
        <v>313</v>
      </c>
      <c r="BG118">
        <v>127094.69</v>
      </c>
      <c r="BH118">
        <v>123754.72</v>
      </c>
      <c r="BJ118" t="s">
        <v>313</v>
      </c>
      <c r="BK118">
        <v>103271.24</v>
      </c>
      <c r="BL118">
        <v>99849.04</v>
      </c>
      <c r="BN118" t="s">
        <v>100</v>
      </c>
      <c r="BO118">
        <v>2525</v>
      </c>
      <c r="BP118">
        <v>1200</v>
      </c>
      <c r="BQ118">
        <f t="shared" si="24"/>
        <v>0</v>
      </c>
      <c r="BR118" t="s">
        <v>390</v>
      </c>
      <c r="BV118" t="s">
        <v>390</v>
      </c>
      <c r="BZ118" t="s">
        <v>398</v>
      </c>
      <c r="CA118">
        <v>42279.92</v>
      </c>
      <c r="CB118">
        <v>75838.62</v>
      </c>
      <c r="CD118" t="s">
        <v>398</v>
      </c>
      <c r="CE118">
        <v>-181116.14</v>
      </c>
      <c r="CF118">
        <v>75838.62</v>
      </c>
      <c r="CH118" t="s">
        <v>398</v>
      </c>
      <c r="CI118">
        <v>-180487.96</v>
      </c>
      <c r="CJ118">
        <v>75838.62</v>
      </c>
    </row>
    <row r="119" spans="1:88" x14ac:dyDescent="0.3">
      <c r="A119" t="s">
        <v>253</v>
      </c>
      <c r="B119" t="s">
        <v>41</v>
      </c>
      <c r="C119" t="s">
        <v>332</v>
      </c>
      <c r="D119">
        <f t="shared" si="21"/>
        <v>10432</v>
      </c>
      <c r="E119">
        <f t="shared" si="22"/>
        <v>8871.24</v>
      </c>
      <c r="F119" s="75">
        <f t="shared" si="23"/>
        <v>-3500</v>
      </c>
      <c r="G119" t="s">
        <v>385</v>
      </c>
      <c r="H119">
        <v>3500</v>
      </c>
      <c r="I119">
        <v>12650</v>
      </c>
      <c r="J119" s="75">
        <f t="shared" si="20"/>
        <v>-12650</v>
      </c>
      <c r="L119" t="s">
        <v>386</v>
      </c>
      <c r="M119">
        <v>371489.22</v>
      </c>
      <c r="N119">
        <v>389835.15</v>
      </c>
      <c r="P119" t="s">
        <v>386</v>
      </c>
      <c r="Q119">
        <v>368467.83</v>
      </c>
      <c r="R119">
        <v>389835.15</v>
      </c>
      <c r="T119" t="s">
        <v>386</v>
      </c>
      <c r="U119">
        <v>368467.83</v>
      </c>
      <c r="V119">
        <v>389835.15</v>
      </c>
      <c r="X119" t="s">
        <v>386</v>
      </c>
      <c r="Y119">
        <v>368467.83</v>
      </c>
      <c r="Z119">
        <v>389835.15</v>
      </c>
      <c r="AB119" t="s">
        <v>387</v>
      </c>
      <c r="AC119"/>
      <c r="AD119"/>
      <c r="AG119" t="s">
        <v>387</v>
      </c>
      <c r="AL119" t="s">
        <v>305</v>
      </c>
      <c r="AM119">
        <v>975.5</v>
      </c>
      <c r="AN119">
        <v>0</v>
      </c>
      <c r="AP119" t="s">
        <v>388</v>
      </c>
      <c r="AT119" t="s">
        <v>388</v>
      </c>
      <c r="AX119" t="s">
        <v>309</v>
      </c>
      <c r="AY119">
        <v>10216</v>
      </c>
      <c r="AZ119">
        <v>17950</v>
      </c>
      <c r="BB119" t="s">
        <v>310</v>
      </c>
      <c r="BC119">
        <v>32128.5</v>
      </c>
      <c r="BD119">
        <v>8316</v>
      </c>
      <c r="BF119" t="s">
        <v>289</v>
      </c>
      <c r="BG119">
        <v>28320</v>
      </c>
      <c r="BH119">
        <v>24340</v>
      </c>
      <c r="BJ119" t="s">
        <v>289</v>
      </c>
      <c r="BK119">
        <v>28320</v>
      </c>
      <c r="BL119">
        <v>24340</v>
      </c>
      <c r="BN119" t="s">
        <v>389</v>
      </c>
      <c r="BO119">
        <v>152542.35999999999</v>
      </c>
      <c r="BP119">
        <v>122730.93</v>
      </c>
      <c r="BQ119">
        <f t="shared" si="24"/>
        <v>-12650</v>
      </c>
      <c r="BR119" t="s">
        <v>318</v>
      </c>
      <c r="BS119">
        <v>0</v>
      </c>
      <c r="BT119">
        <v>300</v>
      </c>
      <c r="BV119" t="s">
        <v>318</v>
      </c>
      <c r="BW119">
        <v>0</v>
      </c>
      <c r="BX119">
        <v>300</v>
      </c>
      <c r="BZ119" t="s">
        <v>399</v>
      </c>
      <c r="CA119">
        <v>42279.92</v>
      </c>
      <c r="CB119">
        <v>75838.62</v>
      </c>
      <c r="CD119" t="s">
        <v>399</v>
      </c>
      <c r="CE119">
        <v>-181116.14</v>
      </c>
      <c r="CF119">
        <v>75838.62</v>
      </c>
      <c r="CH119" t="s">
        <v>399</v>
      </c>
      <c r="CI119">
        <v>-180487.96</v>
      </c>
      <c r="CJ119">
        <v>75838.62</v>
      </c>
    </row>
    <row r="120" spans="1:88" x14ac:dyDescent="0.3">
      <c r="B120" t="s">
        <v>36</v>
      </c>
      <c r="C120" t="s">
        <v>333</v>
      </c>
      <c r="D120">
        <f t="shared" si="21"/>
        <v>0</v>
      </c>
      <c r="E120">
        <f t="shared" si="22"/>
        <v>0</v>
      </c>
      <c r="F120" s="75">
        <f t="shared" si="23"/>
        <v>-377098.21</v>
      </c>
      <c r="G120" t="s">
        <v>386</v>
      </c>
      <c r="H120">
        <v>377098.21</v>
      </c>
      <c r="I120">
        <v>389835.15</v>
      </c>
      <c r="J120" s="75">
        <f t="shared" si="20"/>
        <v>-389835.15</v>
      </c>
      <c r="L120" t="s">
        <v>387</v>
      </c>
      <c r="P120" t="s">
        <v>387</v>
      </c>
      <c r="T120" t="s">
        <v>387</v>
      </c>
      <c r="X120" t="s">
        <v>387</v>
      </c>
      <c r="AB120" t="s">
        <v>305</v>
      </c>
      <c r="AC120">
        <v>975.5</v>
      </c>
      <c r="AD120">
        <v>5020</v>
      </c>
      <c r="AG120" t="s">
        <v>305</v>
      </c>
      <c r="AH120">
        <v>975.5</v>
      </c>
      <c r="AI120">
        <v>0</v>
      </c>
      <c r="AL120" t="s">
        <v>306</v>
      </c>
      <c r="AM120">
        <v>6342.14</v>
      </c>
      <c r="AN120">
        <v>0</v>
      </c>
      <c r="AP120" t="s">
        <v>309</v>
      </c>
      <c r="AQ120">
        <v>10216</v>
      </c>
      <c r="AR120">
        <v>17950</v>
      </c>
      <c r="AT120" t="s">
        <v>309</v>
      </c>
      <c r="AU120">
        <v>10216</v>
      </c>
      <c r="AV120">
        <v>17950</v>
      </c>
      <c r="AX120" t="s">
        <v>310</v>
      </c>
      <c r="AY120">
        <v>40129.5</v>
      </c>
      <c r="AZ120">
        <v>42485</v>
      </c>
      <c r="BB120" t="s">
        <v>311</v>
      </c>
      <c r="BC120">
        <v>21395</v>
      </c>
      <c r="BD120">
        <v>14000</v>
      </c>
      <c r="BF120" t="s">
        <v>100</v>
      </c>
      <c r="BG120">
        <v>3175</v>
      </c>
      <c r="BH120">
        <v>1650</v>
      </c>
      <c r="BJ120" t="s">
        <v>100</v>
      </c>
      <c r="BK120">
        <v>3000</v>
      </c>
      <c r="BL120">
        <v>1650</v>
      </c>
      <c r="BN120" t="s">
        <v>314</v>
      </c>
      <c r="BO120">
        <v>14000</v>
      </c>
      <c r="BP120">
        <v>14500</v>
      </c>
      <c r="BQ120">
        <f t="shared" si="24"/>
        <v>-389835.15</v>
      </c>
      <c r="BR120" t="s">
        <v>319</v>
      </c>
      <c r="BS120">
        <v>990</v>
      </c>
      <c r="BT120">
        <v>990</v>
      </c>
      <c r="BV120" t="s">
        <v>319</v>
      </c>
      <c r="BW120">
        <v>990</v>
      </c>
      <c r="BX120">
        <v>990</v>
      </c>
    </row>
    <row r="121" spans="1:88" x14ac:dyDescent="0.3">
      <c r="F121" s="75">
        <f t="shared" si="23"/>
        <v>0</v>
      </c>
      <c r="G121" t="s">
        <v>387</v>
      </c>
      <c r="J121" s="75">
        <f t="shared" si="20"/>
        <v>0</v>
      </c>
      <c r="L121" t="s">
        <v>305</v>
      </c>
      <c r="M121">
        <v>975.5</v>
      </c>
      <c r="N121">
        <v>17308.580000000002</v>
      </c>
      <c r="P121" t="s">
        <v>305</v>
      </c>
      <c r="Q121">
        <v>975.5</v>
      </c>
      <c r="R121">
        <v>17308.580000000002</v>
      </c>
      <c r="T121" t="s">
        <v>305</v>
      </c>
      <c r="U121">
        <v>975.5</v>
      </c>
      <c r="V121">
        <v>17308.580000000002</v>
      </c>
      <c r="X121" t="s">
        <v>305</v>
      </c>
      <c r="Y121">
        <v>975.5</v>
      </c>
      <c r="Z121">
        <v>17308.580000000002</v>
      </c>
      <c r="AB121" t="s">
        <v>306</v>
      </c>
      <c r="AC121">
        <v>6342.14</v>
      </c>
      <c r="AD121">
        <v>0</v>
      </c>
      <c r="AG121" t="s">
        <v>306</v>
      </c>
      <c r="AH121">
        <v>6342.14</v>
      </c>
      <c r="AI121">
        <v>0</v>
      </c>
      <c r="AL121" t="s">
        <v>307</v>
      </c>
      <c r="AM121">
        <v>0</v>
      </c>
      <c r="AN121">
        <v>1735.01</v>
      </c>
      <c r="AP121" t="s">
        <v>310</v>
      </c>
      <c r="AQ121">
        <v>40129.5</v>
      </c>
      <c r="AR121">
        <v>42485</v>
      </c>
      <c r="AT121" t="s">
        <v>310</v>
      </c>
      <c r="AU121">
        <v>40129.5</v>
      </c>
      <c r="AV121">
        <v>42485</v>
      </c>
      <c r="AX121" t="s">
        <v>311</v>
      </c>
      <c r="AY121">
        <v>26900</v>
      </c>
      <c r="AZ121">
        <v>16000</v>
      </c>
      <c r="BB121" t="s">
        <v>312</v>
      </c>
      <c r="BC121">
        <v>0</v>
      </c>
      <c r="BD121">
        <v>300</v>
      </c>
      <c r="BF121" t="s">
        <v>389</v>
      </c>
      <c r="BG121">
        <v>217884.19</v>
      </c>
      <c r="BH121">
        <v>180582.72</v>
      </c>
      <c r="BJ121" t="s">
        <v>389</v>
      </c>
      <c r="BK121">
        <v>184291.74</v>
      </c>
      <c r="BL121">
        <v>152677.04</v>
      </c>
      <c r="BN121" t="s">
        <v>390</v>
      </c>
      <c r="BQ121">
        <f t="shared" si="24"/>
        <v>0</v>
      </c>
      <c r="BR121" t="s">
        <v>320</v>
      </c>
      <c r="BS121">
        <v>14175</v>
      </c>
      <c r="BT121">
        <v>16500</v>
      </c>
      <c r="BV121" t="s">
        <v>320</v>
      </c>
      <c r="BW121">
        <v>14175</v>
      </c>
      <c r="BX121">
        <v>16500</v>
      </c>
    </row>
    <row r="122" spans="1:88" x14ac:dyDescent="0.3">
      <c r="F122" s="75">
        <f t="shared" si="23"/>
        <v>0</v>
      </c>
      <c r="G122" t="s">
        <v>305</v>
      </c>
      <c r="H122">
        <v>975.5</v>
      </c>
      <c r="I122">
        <v>17308.580000000002</v>
      </c>
      <c r="J122" s="75">
        <f t="shared" si="20"/>
        <v>0</v>
      </c>
      <c r="L122" t="s">
        <v>306</v>
      </c>
      <c r="M122">
        <v>6342.14</v>
      </c>
      <c r="N122">
        <v>800</v>
      </c>
      <c r="P122" t="s">
        <v>306</v>
      </c>
      <c r="Q122">
        <v>6342.14</v>
      </c>
      <c r="R122">
        <v>800</v>
      </c>
      <c r="T122" t="s">
        <v>306</v>
      </c>
      <c r="U122">
        <v>6342.14</v>
      </c>
      <c r="V122">
        <v>800</v>
      </c>
      <c r="X122" t="s">
        <v>306</v>
      </c>
      <c r="Y122">
        <v>6342.14</v>
      </c>
      <c r="Z122">
        <v>800</v>
      </c>
      <c r="AB122" t="s">
        <v>307</v>
      </c>
      <c r="AC122">
        <v>0</v>
      </c>
      <c r="AD122">
        <v>1735.01</v>
      </c>
      <c r="AG122" t="s">
        <v>307</v>
      </c>
      <c r="AH122">
        <v>0</v>
      </c>
      <c r="AI122">
        <v>1735.01</v>
      </c>
      <c r="AL122" t="s">
        <v>388</v>
      </c>
      <c r="AP122" t="s">
        <v>311</v>
      </c>
      <c r="AQ122">
        <v>26900</v>
      </c>
      <c r="AR122">
        <v>16000</v>
      </c>
      <c r="AT122" t="s">
        <v>311</v>
      </c>
      <c r="AU122">
        <v>26900</v>
      </c>
      <c r="AV122">
        <v>16000</v>
      </c>
      <c r="AX122" t="s">
        <v>312</v>
      </c>
      <c r="AY122">
        <v>0</v>
      </c>
      <c r="AZ122">
        <v>300</v>
      </c>
      <c r="BB122" t="s">
        <v>313</v>
      </c>
      <c r="BC122">
        <v>153288.68</v>
      </c>
      <c r="BD122">
        <v>148734.76</v>
      </c>
      <c r="BF122" t="s">
        <v>314</v>
      </c>
      <c r="BG122">
        <v>21000</v>
      </c>
      <c r="BH122">
        <v>21500</v>
      </c>
      <c r="BJ122" t="s">
        <v>314</v>
      </c>
      <c r="BK122">
        <v>17500</v>
      </c>
      <c r="BL122">
        <v>18000</v>
      </c>
      <c r="BN122" t="s">
        <v>318</v>
      </c>
      <c r="BO122">
        <v>0</v>
      </c>
      <c r="BP122">
        <v>434</v>
      </c>
      <c r="BQ122">
        <f t="shared" si="24"/>
        <v>0</v>
      </c>
      <c r="BR122" t="s">
        <v>321</v>
      </c>
      <c r="BS122">
        <v>750</v>
      </c>
      <c r="BT122">
        <v>0</v>
      </c>
      <c r="BV122" t="s">
        <v>321</v>
      </c>
      <c r="BW122">
        <v>500</v>
      </c>
      <c r="BX122">
        <v>0</v>
      </c>
    </row>
    <row r="123" spans="1:88" x14ac:dyDescent="0.3">
      <c r="F123" s="75">
        <f t="shared" si="23"/>
        <v>0</v>
      </c>
      <c r="G123" t="s">
        <v>306</v>
      </c>
      <c r="H123">
        <v>6342.14</v>
      </c>
      <c r="I123">
        <v>800</v>
      </c>
      <c r="J123" s="75">
        <f t="shared" si="20"/>
        <v>0</v>
      </c>
      <c r="L123" t="s">
        <v>307</v>
      </c>
      <c r="M123">
        <v>0</v>
      </c>
      <c r="N123">
        <v>1735.01</v>
      </c>
      <c r="P123" t="s">
        <v>307</v>
      </c>
      <c r="Q123">
        <v>0</v>
      </c>
      <c r="R123">
        <v>1735.01</v>
      </c>
      <c r="T123" t="s">
        <v>307</v>
      </c>
      <c r="U123">
        <v>0</v>
      </c>
      <c r="V123">
        <v>1735.01</v>
      </c>
      <c r="X123" t="s">
        <v>307</v>
      </c>
      <c r="Y123">
        <v>0</v>
      </c>
      <c r="Z123">
        <v>1735.01</v>
      </c>
      <c r="AB123" t="s">
        <v>388</v>
      </c>
      <c r="AC123"/>
      <c r="AD123"/>
      <c r="AG123" t="s">
        <v>388</v>
      </c>
      <c r="AL123" t="s">
        <v>309</v>
      </c>
      <c r="AM123">
        <v>25026.55</v>
      </c>
      <c r="AN123">
        <v>20722</v>
      </c>
      <c r="AP123" t="s">
        <v>312</v>
      </c>
      <c r="AQ123">
        <v>0</v>
      </c>
      <c r="AR123">
        <v>300</v>
      </c>
      <c r="AT123" t="s">
        <v>312</v>
      </c>
      <c r="AU123">
        <v>0</v>
      </c>
      <c r="AV123">
        <v>300</v>
      </c>
      <c r="AX123" t="s">
        <v>313</v>
      </c>
      <c r="AY123">
        <v>180603.2</v>
      </c>
      <c r="AZ123">
        <v>171868.84</v>
      </c>
      <c r="BB123" t="s">
        <v>289</v>
      </c>
      <c r="BC123">
        <v>28320</v>
      </c>
      <c r="BD123">
        <v>24340</v>
      </c>
      <c r="BF123" t="s">
        <v>390</v>
      </c>
      <c r="BJ123" t="s">
        <v>390</v>
      </c>
      <c r="BN123" t="s">
        <v>319</v>
      </c>
      <c r="BO123">
        <v>1485</v>
      </c>
      <c r="BP123">
        <v>1485</v>
      </c>
      <c r="BQ123">
        <f t="shared" si="24"/>
        <v>0</v>
      </c>
      <c r="BR123" t="s">
        <v>322</v>
      </c>
      <c r="BS123">
        <v>4510.47</v>
      </c>
      <c r="BT123">
        <v>1334.46</v>
      </c>
      <c r="BV123" t="s">
        <v>322</v>
      </c>
      <c r="BW123">
        <v>4510.47</v>
      </c>
      <c r="BX123">
        <v>1334.46</v>
      </c>
    </row>
    <row r="124" spans="1:88" x14ac:dyDescent="0.3">
      <c r="F124" s="75">
        <f t="shared" si="23"/>
        <v>0</v>
      </c>
      <c r="G124" t="s">
        <v>307</v>
      </c>
      <c r="H124">
        <v>0</v>
      </c>
      <c r="I124">
        <v>1735.01</v>
      </c>
      <c r="J124" s="75">
        <f t="shared" si="20"/>
        <v>0</v>
      </c>
      <c r="L124" t="s">
        <v>388</v>
      </c>
      <c r="P124" t="s">
        <v>388</v>
      </c>
      <c r="T124" t="s">
        <v>388</v>
      </c>
      <c r="X124" t="s">
        <v>388</v>
      </c>
      <c r="AB124" t="s">
        <v>309</v>
      </c>
      <c r="AC124">
        <v>28767.55</v>
      </c>
      <c r="AD124">
        <v>20722</v>
      </c>
      <c r="AG124" t="s">
        <v>309</v>
      </c>
      <c r="AH124">
        <v>28767.55</v>
      </c>
      <c r="AI124">
        <v>20722</v>
      </c>
      <c r="AL124" t="s">
        <v>310</v>
      </c>
      <c r="AM124">
        <v>40129.5</v>
      </c>
      <c r="AN124">
        <v>29642.5</v>
      </c>
      <c r="AP124" t="s">
        <v>313</v>
      </c>
      <c r="AQ124">
        <v>180603.2</v>
      </c>
      <c r="AR124">
        <v>171868.84</v>
      </c>
      <c r="AT124" t="s">
        <v>313</v>
      </c>
      <c r="AU124">
        <v>180603.2</v>
      </c>
      <c r="AV124">
        <v>171868.84</v>
      </c>
      <c r="AX124" t="s">
        <v>289</v>
      </c>
      <c r="AY124">
        <v>28320</v>
      </c>
      <c r="AZ124">
        <v>24340</v>
      </c>
      <c r="BB124" t="s">
        <v>100</v>
      </c>
      <c r="BC124">
        <v>3350</v>
      </c>
      <c r="BD124">
        <v>1650</v>
      </c>
      <c r="BF124" t="s">
        <v>318</v>
      </c>
      <c r="BG124">
        <v>0</v>
      </c>
      <c r="BH124">
        <v>434</v>
      </c>
      <c r="BJ124" t="s">
        <v>318</v>
      </c>
      <c r="BK124">
        <v>0</v>
      </c>
      <c r="BL124">
        <v>434</v>
      </c>
      <c r="BN124" t="s">
        <v>320</v>
      </c>
      <c r="BO124">
        <v>14175</v>
      </c>
      <c r="BP124">
        <v>16500</v>
      </c>
      <c r="BQ124">
        <f t="shared" si="24"/>
        <v>0</v>
      </c>
      <c r="BR124" t="s">
        <v>391</v>
      </c>
      <c r="BS124">
        <v>20425.47</v>
      </c>
      <c r="BT124">
        <v>19124.46</v>
      </c>
      <c r="BV124" t="s">
        <v>512</v>
      </c>
      <c r="BW124">
        <v>250</v>
      </c>
      <c r="BX124">
        <v>0</v>
      </c>
    </row>
    <row r="125" spans="1:88" x14ac:dyDescent="0.3">
      <c r="F125" s="75">
        <f t="shared" si="23"/>
        <v>0</v>
      </c>
      <c r="G125" t="s">
        <v>388</v>
      </c>
      <c r="J125" s="75">
        <f t="shared" si="20"/>
        <v>0</v>
      </c>
      <c r="L125" t="s">
        <v>309</v>
      </c>
      <c r="M125">
        <v>32508.55</v>
      </c>
      <c r="N125">
        <v>20722</v>
      </c>
      <c r="P125" t="s">
        <v>309</v>
      </c>
      <c r="Q125">
        <v>32508.55</v>
      </c>
      <c r="R125">
        <v>20722</v>
      </c>
      <c r="T125" t="s">
        <v>309</v>
      </c>
      <c r="U125">
        <v>32508.55</v>
      </c>
      <c r="V125">
        <v>20722</v>
      </c>
      <c r="X125" t="s">
        <v>309</v>
      </c>
      <c r="Y125">
        <v>32508.55</v>
      </c>
      <c r="Z125">
        <v>20722</v>
      </c>
      <c r="AB125" t="s">
        <v>310</v>
      </c>
      <c r="AC125">
        <v>43870.5</v>
      </c>
      <c r="AD125">
        <v>46157</v>
      </c>
      <c r="AG125" t="s">
        <v>310</v>
      </c>
      <c r="AH125">
        <v>43870.5</v>
      </c>
      <c r="AI125">
        <v>46157</v>
      </c>
      <c r="AL125" t="s">
        <v>311</v>
      </c>
      <c r="AM125">
        <v>30900</v>
      </c>
      <c r="AN125">
        <v>18000</v>
      </c>
      <c r="AP125" t="s">
        <v>289</v>
      </c>
      <c r="AQ125">
        <v>28320</v>
      </c>
      <c r="AR125">
        <v>24340</v>
      </c>
      <c r="AT125" t="s">
        <v>289</v>
      </c>
      <c r="AU125">
        <v>28320</v>
      </c>
      <c r="AV125">
        <v>24340</v>
      </c>
      <c r="AX125" t="s">
        <v>100</v>
      </c>
      <c r="AY125">
        <v>3985</v>
      </c>
      <c r="AZ125">
        <v>1650</v>
      </c>
      <c r="BB125" t="s">
        <v>389</v>
      </c>
      <c r="BC125">
        <v>248698.18</v>
      </c>
      <c r="BD125">
        <v>214846.76</v>
      </c>
      <c r="BF125" t="s">
        <v>319</v>
      </c>
      <c r="BG125">
        <v>2475</v>
      </c>
      <c r="BH125">
        <v>2475</v>
      </c>
      <c r="BJ125" t="s">
        <v>319</v>
      </c>
      <c r="BK125">
        <v>1980</v>
      </c>
      <c r="BL125">
        <v>1980</v>
      </c>
      <c r="BN125" t="s">
        <v>321</v>
      </c>
      <c r="BO125">
        <v>1000</v>
      </c>
      <c r="BP125">
        <v>0</v>
      </c>
      <c r="BQ125">
        <f t="shared" si="24"/>
        <v>0</v>
      </c>
      <c r="BR125" t="s">
        <v>324</v>
      </c>
      <c r="BS125">
        <v>18027.5</v>
      </c>
      <c r="BT125">
        <v>150</v>
      </c>
      <c r="BV125" t="s">
        <v>391</v>
      </c>
      <c r="BW125">
        <v>20425.47</v>
      </c>
      <c r="BX125">
        <v>19124.46</v>
      </c>
    </row>
    <row r="126" spans="1:88" x14ac:dyDescent="0.3">
      <c r="F126" s="75">
        <f t="shared" si="23"/>
        <v>0</v>
      </c>
      <c r="G126" t="s">
        <v>309</v>
      </c>
      <c r="H126">
        <v>32508.55</v>
      </c>
      <c r="I126">
        <v>20722</v>
      </c>
      <c r="J126" s="75">
        <f t="shared" si="20"/>
        <v>0</v>
      </c>
      <c r="L126" t="s">
        <v>310</v>
      </c>
      <c r="M126">
        <v>47611.5</v>
      </c>
      <c r="N126">
        <v>46157</v>
      </c>
      <c r="P126" t="s">
        <v>310</v>
      </c>
      <c r="Q126">
        <v>47611.5</v>
      </c>
      <c r="R126">
        <v>46157</v>
      </c>
      <c r="T126" t="s">
        <v>310</v>
      </c>
      <c r="U126">
        <v>47611.5</v>
      </c>
      <c r="V126">
        <v>46157</v>
      </c>
      <c r="X126" t="s">
        <v>310</v>
      </c>
      <c r="Y126">
        <v>47611.5</v>
      </c>
      <c r="Z126">
        <v>46157</v>
      </c>
      <c r="AB126" t="s">
        <v>311</v>
      </c>
      <c r="AC126">
        <v>32900</v>
      </c>
      <c r="AD126">
        <v>20600</v>
      </c>
      <c r="AG126" t="s">
        <v>311</v>
      </c>
      <c r="AH126">
        <v>32900</v>
      </c>
      <c r="AI126">
        <v>20600</v>
      </c>
      <c r="AL126" t="s">
        <v>312</v>
      </c>
      <c r="AM126">
        <v>0</v>
      </c>
      <c r="AN126">
        <v>300</v>
      </c>
      <c r="AP126" t="s">
        <v>100</v>
      </c>
      <c r="AQ126">
        <v>3985</v>
      </c>
      <c r="AR126">
        <v>1650</v>
      </c>
      <c r="AT126" t="s">
        <v>100</v>
      </c>
      <c r="AU126">
        <v>3985</v>
      </c>
      <c r="AV126">
        <v>1650</v>
      </c>
      <c r="AX126" t="s">
        <v>389</v>
      </c>
      <c r="AY126">
        <v>290153.7</v>
      </c>
      <c r="AZ126">
        <v>274593.84000000003</v>
      </c>
      <c r="BB126" t="s">
        <v>314</v>
      </c>
      <c r="BC126">
        <v>24500</v>
      </c>
      <c r="BD126">
        <v>25000</v>
      </c>
      <c r="BF126" t="s">
        <v>320</v>
      </c>
      <c r="BG126">
        <v>14175</v>
      </c>
      <c r="BH126">
        <v>16750</v>
      </c>
      <c r="BJ126" t="s">
        <v>320</v>
      </c>
      <c r="BK126">
        <v>14175</v>
      </c>
      <c r="BL126">
        <v>16500</v>
      </c>
      <c r="BN126" t="s">
        <v>322</v>
      </c>
      <c r="BO126">
        <v>5957.14</v>
      </c>
      <c r="BP126">
        <v>2131.61</v>
      </c>
      <c r="BQ126">
        <f t="shared" si="24"/>
        <v>0</v>
      </c>
      <c r="BR126" t="s">
        <v>392</v>
      </c>
      <c r="BS126">
        <v>170152.95999999999</v>
      </c>
      <c r="BT126">
        <v>95728.31</v>
      </c>
      <c r="BV126" t="s">
        <v>324</v>
      </c>
      <c r="BW126">
        <v>18027.5</v>
      </c>
      <c r="BX126">
        <v>150</v>
      </c>
    </row>
    <row r="127" spans="1:88" x14ac:dyDescent="0.3">
      <c r="F127" s="75">
        <f t="shared" si="23"/>
        <v>0</v>
      </c>
      <c r="G127" t="s">
        <v>310</v>
      </c>
      <c r="H127">
        <v>47611.5</v>
      </c>
      <c r="I127">
        <v>46157</v>
      </c>
      <c r="J127" s="75">
        <f t="shared" si="20"/>
        <v>0</v>
      </c>
      <c r="L127" t="s">
        <v>311</v>
      </c>
      <c r="M127">
        <v>36900</v>
      </c>
      <c r="N127">
        <v>24600</v>
      </c>
      <c r="P127" t="s">
        <v>311</v>
      </c>
      <c r="Q127">
        <v>36900</v>
      </c>
      <c r="R127">
        <v>24600</v>
      </c>
      <c r="T127" t="s">
        <v>311</v>
      </c>
      <c r="U127">
        <v>36900</v>
      </c>
      <c r="V127">
        <v>24600</v>
      </c>
      <c r="X127" t="s">
        <v>311</v>
      </c>
      <c r="Y127">
        <v>36900</v>
      </c>
      <c r="Z127">
        <v>24600</v>
      </c>
      <c r="AB127" t="s">
        <v>312</v>
      </c>
      <c r="AC127">
        <v>0</v>
      </c>
      <c r="AD127">
        <v>1050</v>
      </c>
      <c r="AG127" t="s">
        <v>312</v>
      </c>
      <c r="AH127">
        <v>0</v>
      </c>
      <c r="AI127">
        <v>300</v>
      </c>
      <c r="AL127" t="s">
        <v>313</v>
      </c>
      <c r="AM127">
        <v>208055.67</v>
      </c>
      <c r="AN127">
        <v>197284.22</v>
      </c>
      <c r="AP127" t="s">
        <v>389</v>
      </c>
      <c r="AQ127">
        <v>290153.7</v>
      </c>
      <c r="AR127">
        <v>274593.84000000003</v>
      </c>
      <c r="AT127" t="s">
        <v>389</v>
      </c>
      <c r="AU127">
        <v>290153.7</v>
      </c>
      <c r="AV127">
        <v>274593.84000000003</v>
      </c>
      <c r="AX127" t="s">
        <v>314</v>
      </c>
      <c r="AY127">
        <v>28000</v>
      </c>
      <c r="AZ127">
        <v>28500</v>
      </c>
      <c r="BB127" t="s">
        <v>390</v>
      </c>
      <c r="BF127" t="s">
        <v>321</v>
      </c>
      <c r="BG127">
        <v>1600</v>
      </c>
      <c r="BH127">
        <v>0</v>
      </c>
      <c r="BJ127" t="s">
        <v>321</v>
      </c>
      <c r="BK127">
        <v>1350</v>
      </c>
      <c r="BL127">
        <v>0</v>
      </c>
      <c r="BN127" t="s">
        <v>391</v>
      </c>
      <c r="BO127">
        <v>22617.14</v>
      </c>
      <c r="BP127">
        <v>20550.61</v>
      </c>
      <c r="BQ127">
        <f t="shared" si="24"/>
        <v>0</v>
      </c>
      <c r="BR127" t="s">
        <v>206</v>
      </c>
      <c r="BV127" t="s">
        <v>392</v>
      </c>
      <c r="BW127">
        <v>170152.95999999999</v>
      </c>
      <c r="BX127">
        <v>95728.31</v>
      </c>
    </row>
    <row r="128" spans="1:88" x14ac:dyDescent="0.3">
      <c r="F128" s="75">
        <f t="shared" si="23"/>
        <v>0</v>
      </c>
      <c r="G128" t="s">
        <v>311</v>
      </c>
      <c r="H128">
        <v>36900</v>
      </c>
      <c r="I128">
        <v>24600</v>
      </c>
      <c r="J128" s="75">
        <f t="shared" si="20"/>
        <v>0</v>
      </c>
      <c r="L128" t="s">
        <v>312</v>
      </c>
      <c r="M128">
        <v>0</v>
      </c>
      <c r="N128">
        <v>1050</v>
      </c>
      <c r="P128" t="s">
        <v>312</v>
      </c>
      <c r="Q128">
        <v>0</v>
      </c>
      <c r="R128">
        <v>1050</v>
      </c>
      <c r="T128" t="s">
        <v>312</v>
      </c>
      <c r="U128">
        <v>0</v>
      </c>
      <c r="V128">
        <v>1050</v>
      </c>
      <c r="X128" t="s">
        <v>312</v>
      </c>
      <c r="Y128">
        <v>0</v>
      </c>
      <c r="Z128">
        <v>1050</v>
      </c>
      <c r="AB128" t="s">
        <v>313</v>
      </c>
      <c r="AC128">
        <v>233395.73</v>
      </c>
      <c r="AD128">
        <v>249281.61</v>
      </c>
      <c r="AG128" t="s">
        <v>313</v>
      </c>
      <c r="AH128">
        <v>232799.73</v>
      </c>
      <c r="AI128">
        <v>221440.65</v>
      </c>
      <c r="AL128" t="s">
        <v>289</v>
      </c>
      <c r="AM128">
        <v>28320</v>
      </c>
      <c r="AN128">
        <v>24340</v>
      </c>
      <c r="AP128" t="s">
        <v>314</v>
      </c>
      <c r="AQ128">
        <v>28000</v>
      </c>
      <c r="AR128">
        <v>28500</v>
      </c>
      <c r="AT128" t="s">
        <v>314</v>
      </c>
      <c r="AU128">
        <v>28000</v>
      </c>
      <c r="AV128">
        <v>28500</v>
      </c>
      <c r="AX128" t="s">
        <v>390</v>
      </c>
      <c r="BB128" t="s">
        <v>318</v>
      </c>
      <c r="BC128">
        <v>0</v>
      </c>
      <c r="BD128">
        <v>2434</v>
      </c>
      <c r="BF128" t="s">
        <v>322</v>
      </c>
      <c r="BG128">
        <v>8347.02</v>
      </c>
      <c r="BH128">
        <v>4157.8599999999997</v>
      </c>
      <c r="BJ128" t="s">
        <v>322</v>
      </c>
      <c r="BK128">
        <v>6589.85</v>
      </c>
      <c r="BL128">
        <v>3182.58</v>
      </c>
      <c r="BN128" t="s">
        <v>324</v>
      </c>
      <c r="BO128">
        <v>18281.25</v>
      </c>
      <c r="BP128">
        <v>2225</v>
      </c>
      <c r="BQ128">
        <f t="shared" si="24"/>
        <v>0</v>
      </c>
      <c r="BR128" t="s">
        <v>325</v>
      </c>
      <c r="BS128">
        <v>9963.2000000000007</v>
      </c>
      <c r="BT128">
        <v>7900.59</v>
      </c>
      <c r="BV128" t="s">
        <v>206</v>
      </c>
    </row>
    <row r="129" spans="1:76" x14ac:dyDescent="0.3">
      <c r="A129" t="s">
        <v>245</v>
      </c>
      <c r="B129" t="s">
        <v>334</v>
      </c>
      <c r="D129">
        <f>SUBTOTAL(9,D3:D128)</f>
        <v>6580796.8799999999</v>
      </c>
      <c r="F129" s="75">
        <f t="shared" si="23"/>
        <v>0</v>
      </c>
      <c r="G129" t="s">
        <v>312</v>
      </c>
      <c r="H129">
        <v>0</v>
      </c>
      <c r="I129">
        <v>1050</v>
      </c>
      <c r="J129" s="75">
        <f t="shared" si="20"/>
        <v>0</v>
      </c>
      <c r="L129" t="s">
        <v>313</v>
      </c>
      <c r="M129">
        <v>313281.5</v>
      </c>
      <c r="N129">
        <v>302342.43</v>
      </c>
      <c r="P129" t="s">
        <v>313</v>
      </c>
      <c r="Q129">
        <v>260382.32</v>
      </c>
      <c r="R129">
        <v>302342.43</v>
      </c>
      <c r="T129" t="s">
        <v>313</v>
      </c>
      <c r="U129">
        <v>260382.32</v>
      </c>
      <c r="V129">
        <v>302342.43</v>
      </c>
      <c r="X129" t="s">
        <v>313</v>
      </c>
      <c r="Y129">
        <v>260382.32</v>
      </c>
      <c r="Z129">
        <v>302342.43</v>
      </c>
      <c r="AB129" t="s">
        <v>289</v>
      </c>
      <c r="AC129">
        <v>28320</v>
      </c>
      <c r="AD129">
        <v>24340</v>
      </c>
      <c r="AG129" t="s">
        <v>289</v>
      </c>
      <c r="AH129">
        <v>28320</v>
      </c>
      <c r="AI129">
        <v>24340</v>
      </c>
      <c r="AL129" t="s">
        <v>100</v>
      </c>
      <c r="AM129">
        <v>3985</v>
      </c>
      <c r="AN129">
        <v>1650</v>
      </c>
      <c r="AP129" t="s">
        <v>390</v>
      </c>
      <c r="AT129" t="s">
        <v>390</v>
      </c>
      <c r="AX129" t="s">
        <v>315</v>
      </c>
      <c r="AY129">
        <v>0</v>
      </c>
      <c r="AZ129">
        <v>2620.7800000000002</v>
      </c>
      <c r="BB129" t="s">
        <v>319</v>
      </c>
      <c r="BC129">
        <v>2970</v>
      </c>
      <c r="BD129">
        <v>2970</v>
      </c>
      <c r="BF129" t="s">
        <v>391</v>
      </c>
      <c r="BG129">
        <v>26597.02</v>
      </c>
      <c r="BH129">
        <v>23816.86</v>
      </c>
      <c r="BJ129" t="s">
        <v>391</v>
      </c>
      <c r="BK129">
        <v>24094.85</v>
      </c>
      <c r="BL129">
        <v>22096.58</v>
      </c>
      <c r="BN129" t="s">
        <v>392</v>
      </c>
      <c r="BO129">
        <v>210992.25</v>
      </c>
      <c r="BP129">
        <v>160356.54</v>
      </c>
      <c r="BQ129">
        <f t="shared" si="24"/>
        <v>0</v>
      </c>
      <c r="BR129" t="s">
        <v>327</v>
      </c>
      <c r="BS129">
        <v>3997.09</v>
      </c>
      <c r="BT129">
        <v>5529.99</v>
      </c>
      <c r="BV129" t="s">
        <v>325</v>
      </c>
      <c r="BW129">
        <v>9963.2000000000007</v>
      </c>
      <c r="BX129">
        <v>7900.59</v>
      </c>
    </row>
    <row r="130" spans="1:76" x14ac:dyDescent="0.3">
      <c r="B130" t="s">
        <v>335</v>
      </c>
      <c r="F130" s="75">
        <f t="shared" si="23"/>
        <v>0</v>
      </c>
      <c r="G130" t="s">
        <v>313</v>
      </c>
      <c r="H130">
        <v>313281.5</v>
      </c>
      <c r="I130">
        <v>302342.43</v>
      </c>
      <c r="J130" s="75">
        <f t="shared" si="20"/>
        <v>0</v>
      </c>
      <c r="L130" t="s">
        <v>289</v>
      </c>
      <c r="M130">
        <v>28320</v>
      </c>
      <c r="N130">
        <v>24340</v>
      </c>
      <c r="P130" t="s">
        <v>289</v>
      </c>
      <c r="Q130">
        <v>28320</v>
      </c>
      <c r="R130">
        <v>24340</v>
      </c>
      <c r="T130" t="s">
        <v>289</v>
      </c>
      <c r="U130">
        <v>28320</v>
      </c>
      <c r="V130">
        <v>24340</v>
      </c>
      <c r="X130" t="s">
        <v>289</v>
      </c>
      <c r="Y130">
        <v>28320</v>
      </c>
      <c r="Z130">
        <v>24340</v>
      </c>
      <c r="AB130" t="s">
        <v>100</v>
      </c>
      <c r="AC130">
        <v>4160</v>
      </c>
      <c r="AD130">
        <v>2375</v>
      </c>
      <c r="AG130" t="s">
        <v>100</v>
      </c>
      <c r="AH130">
        <v>4160</v>
      </c>
      <c r="AI130">
        <v>2225</v>
      </c>
      <c r="AL130" t="s">
        <v>389</v>
      </c>
      <c r="AM130">
        <v>336416.72</v>
      </c>
      <c r="AN130">
        <v>291938.71999999997</v>
      </c>
      <c r="AP130" t="s">
        <v>315</v>
      </c>
      <c r="AQ130">
        <v>0</v>
      </c>
      <c r="AR130">
        <v>2620.7800000000002</v>
      </c>
      <c r="AT130" t="s">
        <v>315</v>
      </c>
      <c r="AU130">
        <v>0</v>
      </c>
      <c r="AV130">
        <v>2620.7800000000002</v>
      </c>
      <c r="AX130" t="s">
        <v>318</v>
      </c>
      <c r="AY130">
        <v>0</v>
      </c>
      <c r="AZ130">
        <v>2434</v>
      </c>
      <c r="BB130" t="s">
        <v>320</v>
      </c>
      <c r="BC130">
        <v>14425</v>
      </c>
      <c r="BD130">
        <v>18000</v>
      </c>
      <c r="BF130" t="s">
        <v>324</v>
      </c>
      <c r="BG130">
        <v>18837.5</v>
      </c>
      <c r="BH130">
        <v>2905.92</v>
      </c>
      <c r="BJ130" t="s">
        <v>324</v>
      </c>
      <c r="BK130">
        <v>18518.75</v>
      </c>
      <c r="BL130">
        <v>2749.67</v>
      </c>
      <c r="BN130" t="s">
        <v>206</v>
      </c>
      <c r="BQ130">
        <f t="shared" si="24"/>
        <v>0</v>
      </c>
      <c r="BR130" t="s">
        <v>328</v>
      </c>
      <c r="BS130">
        <v>5878.5</v>
      </c>
      <c r="BT130">
        <v>2842.25</v>
      </c>
      <c r="BV130" t="s">
        <v>327</v>
      </c>
      <c r="BW130">
        <v>3997.09</v>
      </c>
      <c r="BX130">
        <v>5529.99</v>
      </c>
    </row>
    <row r="131" spans="1:76" x14ac:dyDescent="0.3">
      <c r="F131" s="75">
        <f t="shared" si="23"/>
        <v>0</v>
      </c>
      <c r="G131" t="s">
        <v>289</v>
      </c>
      <c r="H131">
        <v>28320</v>
      </c>
      <c r="I131">
        <v>24340</v>
      </c>
      <c r="J131" s="75">
        <f t="shared" si="20"/>
        <v>0</v>
      </c>
      <c r="L131" t="s">
        <v>100</v>
      </c>
      <c r="M131">
        <v>4735</v>
      </c>
      <c r="N131">
        <v>2975</v>
      </c>
      <c r="P131" t="s">
        <v>100</v>
      </c>
      <c r="Q131">
        <v>4735</v>
      </c>
      <c r="R131">
        <v>2975</v>
      </c>
      <c r="T131" t="s">
        <v>100</v>
      </c>
      <c r="U131">
        <v>4735</v>
      </c>
      <c r="V131">
        <v>2975</v>
      </c>
      <c r="X131" t="s">
        <v>100</v>
      </c>
      <c r="Y131">
        <v>4735</v>
      </c>
      <c r="Z131">
        <v>2975</v>
      </c>
      <c r="AB131" t="s">
        <v>389</v>
      </c>
      <c r="AC131">
        <v>371413.78</v>
      </c>
      <c r="AD131">
        <v>364525.61</v>
      </c>
      <c r="AG131" t="s">
        <v>389</v>
      </c>
      <c r="AH131">
        <v>370817.78</v>
      </c>
      <c r="AI131">
        <v>335784.65</v>
      </c>
      <c r="AL131" t="s">
        <v>314</v>
      </c>
      <c r="AM131">
        <v>31500</v>
      </c>
      <c r="AN131">
        <v>32000</v>
      </c>
      <c r="AP131" t="s">
        <v>318</v>
      </c>
      <c r="AQ131">
        <v>907.72</v>
      </c>
      <c r="AR131">
        <v>2434</v>
      </c>
      <c r="AT131" t="s">
        <v>318</v>
      </c>
      <c r="AU131">
        <v>0</v>
      </c>
      <c r="AV131">
        <v>2434</v>
      </c>
      <c r="AX131" t="s">
        <v>319</v>
      </c>
      <c r="AY131">
        <v>3465</v>
      </c>
      <c r="AZ131">
        <v>3465</v>
      </c>
      <c r="BB131" t="s">
        <v>321</v>
      </c>
      <c r="BC131">
        <v>1700</v>
      </c>
      <c r="BD131">
        <v>0</v>
      </c>
      <c r="BF131" t="s">
        <v>392</v>
      </c>
      <c r="BG131">
        <v>287870.21000000002</v>
      </c>
      <c r="BH131">
        <v>230540.51</v>
      </c>
      <c r="BJ131" t="s">
        <v>392</v>
      </c>
      <c r="BK131">
        <v>247956.84</v>
      </c>
      <c r="BL131">
        <v>197258.3</v>
      </c>
      <c r="BN131" t="s">
        <v>325</v>
      </c>
      <c r="BO131">
        <v>9963.2000000000007</v>
      </c>
      <c r="BP131">
        <v>8210.09</v>
      </c>
      <c r="BQ131">
        <f t="shared" si="24"/>
        <v>0</v>
      </c>
      <c r="BR131" t="s">
        <v>393</v>
      </c>
      <c r="BV131" t="s">
        <v>328</v>
      </c>
      <c r="BW131">
        <v>5878.5</v>
      </c>
      <c r="BX131">
        <v>2842.25</v>
      </c>
    </row>
    <row r="132" spans="1:76" x14ac:dyDescent="0.3">
      <c r="F132" s="75">
        <f t="shared" si="23"/>
        <v>0</v>
      </c>
      <c r="G132" t="s">
        <v>100</v>
      </c>
      <c r="H132">
        <v>4735</v>
      </c>
      <c r="I132">
        <v>2975</v>
      </c>
      <c r="J132" s="75">
        <f t="shared" si="20"/>
        <v>0</v>
      </c>
      <c r="L132" t="s">
        <v>389</v>
      </c>
      <c r="M132">
        <v>463356.55</v>
      </c>
      <c r="N132">
        <v>422186.43</v>
      </c>
      <c r="P132" t="s">
        <v>389</v>
      </c>
      <c r="Q132">
        <v>410457.37</v>
      </c>
      <c r="R132">
        <v>422186.43</v>
      </c>
      <c r="T132" t="s">
        <v>389</v>
      </c>
      <c r="U132">
        <v>410457.37</v>
      </c>
      <c r="V132">
        <v>422186.43</v>
      </c>
      <c r="X132" t="s">
        <v>389</v>
      </c>
      <c r="Y132">
        <v>410457.37</v>
      </c>
      <c r="Z132">
        <v>422186.43</v>
      </c>
      <c r="AB132" t="s">
        <v>314</v>
      </c>
      <c r="AC132">
        <v>38500</v>
      </c>
      <c r="AD132">
        <v>39000</v>
      </c>
      <c r="AG132" t="s">
        <v>314</v>
      </c>
      <c r="AH132">
        <v>35000</v>
      </c>
      <c r="AI132">
        <v>35500</v>
      </c>
      <c r="AL132" t="s">
        <v>390</v>
      </c>
      <c r="AP132" t="s">
        <v>319</v>
      </c>
      <c r="AQ132">
        <v>3465</v>
      </c>
      <c r="AR132">
        <v>3465</v>
      </c>
      <c r="AT132" t="s">
        <v>319</v>
      </c>
      <c r="AU132">
        <v>3465</v>
      </c>
      <c r="AV132">
        <v>3465</v>
      </c>
      <c r="AX132" t="s">
        <v>320</v>
      </c>
      <c r="AY132">
        <v>16175</v>
      </c>
      <c r="AZ132">
        <v>18000</v>
      </c>
      <c r="BB132" t="s">
        <v>322</v>
      </c>
      <c r="BC132">
        <v>10223.120000000001</v>
      </c>
      <c r="BD132">
        <v>4971.83</v>
      </c>
      <c r="BF132" t="s">
        <v>206</v>
      </c>
      <c r="BJ132" t="s">
        <v>206</v>
      </c>
      <c r="BN132" t="s">
        <v>327</v>
      </c>
      <c r="BO132">
        <v>5705.56</v>
      </c>
      <c r="BP132">
        <v>6100.56</v>
      </c>
      <c r="BQ132">
        <f t="shared" si="24"/>
        <v>0</v>
      </c>
      <c r="BR132" t="s">
        <v>329</v>
      </c>
      <c r="BS132">
        <v>8170</v>
      </c>
      <c r="BT132">
        <v>8025</v>
      </c>
      <c r="BV132" t="s">
        <v>393</v>
      </c>
    </row>
    <row r="133" spans="1:76" x14ac:dyDescent="0.3">
      <c r="A133" t="s">
        <v>245</v>
      </c>
      <c r="B133" t="s">
        <v>336</v>
      </c>
      <c r="F133" s="75">
        <f t="shared" si="23"/>
        <v>-463356.55</v>
      </c>
      <c r="G133" t="s">
        <v>389</v>
      </c>
      <c r="H133">
        <v>463356.55</v>
      </c>
      <c r="I133">
        <v>422186.43</v>
      </c>
      <c r="J133" s="75">
        <f t="shared" si="20"/>
        <v>-422186.43</v>
      </c>
      <c r="L133" t="s">
        <v>314</v>
      </c>
      <c r="M133">
        <v>42000</v>
      </c>
      <c r="N133">
        <v>42500</v>
      </c>
      <c r="P133" t="s">
        <v>314</v>
      </c>
      <c r="Q133">
        <v>42000</v>
      </c>
      <c r="R133">
        <v>42500</v>
      </c>
      <c r="T133" t="s">
        <v>314</v>
      </c>
      <c r="U133">
        <v>42000</v>
      </c>
      <c r="V133">
        <v>42500</v>
      </c>
      <c r="X133" t="s">
        <v>314</v>
      </c>
      <c r="Y133">
        <v>42000</v>
      </c>
      <c r="Z133">
        <v>42500</v>
      </c>
      <c r="AB133" t="s">
        <v>390</v>
      </c>
      <c r="AC133"/>
      <c r="AD133"/>
      <c r="AG133" t="s">
        <v>390</v>
      </c>
      <c r="AL133" t="s">
        <v>315</v>
      </c>
      <c r="AM133">
        <v>0</v>
      </c>
      <c r="AN133">
        <v>2620.7800000000002</v>
      </c>
      <c r="AP133" t="s">
        <v>320</v>
      </c>
      <c r="AQ133">
        <v>16175</v>
      </c>
      <c r="AR133">
        <v>18000</v>
      </c>
      <c r="AT133" t="s">
        <v>320</v>
      </c>
      <c r="AU133">
        <v>16175</v>
      </c>
      <c r="AV133">
        <v>18000</v>
      </c>
      <c r="AW133" s="96"/>
      <c r="AX133" s="96" t="s">
        <v>321</v>
      </c>
      <c r="AY133" s="96">
        <v>300</v>
      </c>
      <c r="AZ133" s="96">
        <v>0</v>
      </c>
      <c r="BB133" t="s">
        <v>391</v>
      </c>
      <c r="BC133">
        <v>29318.12</v>
      </c>
      <c r="BD133">
        <v>28375.83</v>
      </c>
      <c r="BF133" t="s">
        <v>325</v>
      </c>
      <c r="BG133">
        <v>9963.2000000000007</v>
      </c>
      <c r="BH133">
        <v>11492.39</v>
      </c>
      <c r="BJ133" t="s">
        <v>325</v>
      </c>
      <c r="BK133">
        <v>9963.2000000000007</v>
      </c>
      <c r="BL133">
        <v>11380.09</v>
      </c>
      <c r="BN133" t="s">
        <v>328</v>
      </c>
      <c r="BO133">
        <v>5878.5</v>
      </c>
      <c r="BP133">
        <v>2842.25</v>
      </c>
      <c r="BQ133">
        <f t="shared" si="24"/>
        <v>-422186.43</v>
      </c>
      <c r="BR133" t="s">
        <v>330</v>
      </c>
      <c r="BS133">
        <v>1200</v>
      </c>
      <c r="BT133">
        <v>1250</v>
      </c>
      <c r="BV133" t="s">
        <v>329</v>
      </c>
      <c r="BW133">
        <v>8170</v>
      </c>
      <c r="BX133">
        <v>8025</v>
      </c>
    </row>
    <row r="134" spans="1:76" x14ac:dyDescent="0.3">
      <c r="B134" t="s">
        <v>337</v>
      </c>
      <c r="F134" s="75">
        <f t="shared" ref="F134:F155" si="25">SUMIFS(D:D,C:C,G134)-H134</f>
        <v>0</v>
      </c>
      <c r="G134" t="s">
        <v>314</v>
      </c>
      <c r="H134">
        <v>42000</v>
      </c>
      <c r="I134">
        <v>42500</v>
      </c>
      <c r="J134" s="75">
        <f t="shared" si="20"/>
        <v>0</v>
      </c>
      <c r="L134" t="s">
        <v>390</v>
      </c>
      <c r="P134" t="s">
        <v>390</v>
      </c>
      <c r="T134" t="s">
        <v>390</v>
      </c>
      <c r="X134" t="s">
        <v>390</v>
      </c>
      <c r="AB134" t="s">
        <v>315</v>
      </c>
      <c r="AC134">
        <v>387.6</v>
      </c>
      <c r="AD134">
        <v>2620.7800000000002</v>
      </c>
      <c r="AG134" t="s">
        <v>315</v>
      </c>
      <c r="AH134">
        <v>0</v>
      </c>
      <c r="AI134">
        <v>2620.7800000000002</v>
      </c>
      <c r="AL134" t="s">
        <v>318</v>
      </c>
      <c r="AM134">
        <v>907.72</v>
      </c>
      <c r="AN134">
        <v>2434</v>
      </c>
      <c r="AP134" t="s">
        <v>321</v>
      </c>
      <c r="AQ134">
        <v>300</v>
      </c>
      <c r="AR134">
        <v>0</v>
      </c>
      <c r="AT134" t="s">
        <v>321</v>
      </c>
      <c r="AU134">
        <v>300</v>
      </c>
      <c r="AV134">
        <v>0</v>
      </c>
      <c r="AX134" t="s">
        <v>322</v>
      </c>
      <c r="AY134">
        <v>12880.98</v>
      </c>
      <c r="AZ134">
        <v>5603.12</v>
      </c>
      <c r="BB134" t="s">
        <v>324</v>
      </c>
      <c r="BC134">
        <v>19188.75</v>
      </c>
      <c r="BD134">
        <v>3627.17</v>
      </c>
      <c r="BF134" t="s">
        <v>327</v>
      </c>
      <c r="BG134">
        <v>8055.56</v>
      </c>
      <c r="BH134">
        <v>7453.06</v>
      </c>
      <c r="BJ134" t="s">
        <v>327</v>
      </c>
      <c r="BK134">
        <v>8055.56</v>
      </c>
      <c r="BL134">
        <v>7453.06</v>
      </c>
      <c r="BN134" t="s">
        <v>393</v>
      </c>
      <c r="BQ134">
        <f t="shared" ref="BQ134:BQ145" si="26">SUMIFS(E:E,C:C,G134)-I134</f>
        <v>0</v>
      </c>
      <c r="BR134" t="s">
        <v>43</v>
      </c>
      <c r="BS134">
        <v>12000</v>
      </c>
      <c r="BT134">
        <v>0</v>
      </c>
      <c r="BV134" t="s">
        <v>330</v>
      </c>
      <c r="BW134">
        <v>1200</v>
      </c>
      <c r="BX134">
        <v>1250</v>
      </c>
    </row>
    <row r="135" spans="1:76" x14ac:dyDescent="0.3">
      <c r="B135" t="s">
        <v>338</v>
      </c>
      <c r="F135" s="75">
        <f t="shared" si="25"/>
        <v>0</v>
      </c>
      <c r="G135" t="s">
        <v>390</v>
      </c>
      <c r="J135" s="75">
        <f t="shared" si="20"/>
        <v>0</v>
      </c>
      <c r="L135" t="s">
        <v>315</v>
      </c>
      <c r="M135">
        <v>387.6</v>
      </c>
      <c r="N135">
        <v>2620.7800000000002</v>
      </c>
      <c r="P135" t="s">
        <v>315</v>
      </c>
      <c r="Q135">
        <v>387.6</v>
      </c>
      <c r="R135">
        <v>2620.7800000000002</v>
      </c>
      <c r="T135" t="s">
        <v>315</v>
      </c>
      <c r="U135">
        <v>387.6</v>
      </c>
      <c r="V135">
        <v>2620.7800000000002</v>
      </c>
      <c r="X135" t="s">
        <v>315</v>
      </c>
      <c r="Y135">
        <v>387.6</v>
      </c>
      <c r="Z135">
        <v>2620.7800000000002</v>
      </c>
      <c r="AB135" t="s">
        <v>318</v>
      </c>
      <c r="AC135">
        <v>2293.06</v>
      </c>
      <c r="AD135">
        <v>2434</v>
      </c>
      <c r="AG135" t="s">
        <v>318</v>
      </c>
      <c r="AH135">
        <v>2011.45</v>
      </c>
      <c r="AI135">
        <v>2434</v>
      </c>
      <c r="AL135" t="s">
        <v>319</v>
      </c>
      <c r="AM135">
        <v>3960</v>
      </c>
      <c r="AN135">
        <v>3960</v>
      </c>
      <c r="AP135" t="s">
        <v>322</v>
      </c>
      <c r="AQ135">
        <v>12880.98</v>
      </c>
      <c r="AR135">
        <v>5603.12</v>
      </c>
      <c r="AT135" t="s">
        <v>322</v>
      </c>
      <c r="AU135">
        <v>12880.98</v>
      </c>
      <c r="AV135">
        <v>5603.12</v>
      </c>
      <c r="AW135" s="96"/>
      <c r="AX135" s="96" t="s">
        <v>512</v>
      </c>
      <c r="AY135" s="96">
        <v>907.72</v>
      </c>
      <c r="AZ135" s="96">
        <v>0</v>
      </c>
      <c r="BB135" t="s">
        <v>392</v>
      </c>
      <c r="BC135">
        <v>325256.55</v>
      </c>
      <c r="BD135">
        <v>273584.77</v>
      </c>
      <c r="BF135" t="s">
        <v>328</v>
      </c>
      <c r="BG135">
        <v>12400.41</v>
      </c>
      <c r="BH135">
        <v>8719.75</v>
      </c>
      <c r="BJ135" t="s">
        <v>328</v>
      </c>
      <c r="BK135">
        <v>5878.5</v>
      </c>
      <c r="BL135">
        <v>3035.25</v>
      </c>
      <c r="BN135" t="s">
        <v>329</v>
      </c>
      <c r="BO135">
        <v>8690</v>
      </c>
      <c r="BP135">
        <v>14612.5</v>
      </c>
      <c r="BQ135">
        <f t="shared" si="26"/>
        <v>0</v>
      </c>
      <c r="BR135" t="s">
        <v>331</v>
      </c>
      <c r="BS135">
        <v>422.73</v>
      </c>
      <c r="BT135">
        <v>286.95</v>
      </c>
      <c r="BV135" t="s">
        <v>43</v>
      </c>
      <c r="BW135">
        <v>12000</v>
      </c>
      <c r="BX135">
        <v>0</v>
      </c>
    </row>
    <row r="136" spans="1:76" x14ac:dyDescent="0.3">
      <c r="F136" s="75">
        <f t="shared" si="25"/>
        <v>0</v>
      </c>
      <c r="G136" t="s">
        <v>315</v>
      </c>
      <c r="H136">
        <v>387.6</v>
      </c>
      <c r="I136">
        <v>2620.7800000000002</v>
      </c>
      <c r="J136" s="75">
        <f t="shared" si="20"/>
        <v>0</v>
      </c>
      <c r="L136" t="s">
        <v>318</v>
      </c>
      <c r="M136">
        <v>10174.31</v>
      </c>
      <c r="N136">
        <v>3934</v>
      </c>
      <c r="P136" t="s">
        <v>318</v>
      </c>
      <c r="Q136">
        <v>10174.31</v>
      </c>
      <c r="R136">
        <v>3934</v>
      </c>
      <c r="T136" t="s">
        <v>318</v>
      </c>
      <c r="U136">
        <v>10174.31</v>
      </c>
      <c r="V136">
        <v>3934</v>
      </c>
      <c r="X136" t="s">
        <v>318</v>
      </c>
      <c r="Y136">
        <v>10174.31</v>
      </c>
      <c r="Z136">
        <v>3934</v>
      </c>
      <c r="AB136" t="s">
        <v>319</v>
      </c>
      <c r="AC136">
        <v>4950</v>
      </c>
      <c r="AD136">
        <v>4950</v>
      </c>
      <c r="AG136" t="s">
        <v>319</v>
      </c>
      <c r="AH136">
        <v>4455</v>
      </c>
      <c r="AI136">
        <v>4455</v>
      </c>
      <c r="AL136" t="s">
        <v>320</v>
      </c>
      <c r="AM136">
        <v>16425</v>
      </c>
      <c r="AN136">
        <v>18500</v>
      </c>
      <c r="AP136" t="s">
        <v>391</v>
      </c>
      <c r="AQ136">
        <v>33728.699999999997</v>
      </c>
      <c r="AR136">
        <v>32122.9</v>
      </c>
      <c r="AT136" t="s">
        <v>512</v>
      </c>
      <c r="AU136">
        <v>907.72</v>
      </c>
      <c r="AV136">
        <v>0</v>
      </c>
      <c r="AX136" t="s">
        <v>391</v>
      </c>
      <c r="AY136">
        <v>33728.699999999997</v>
      </c>
      <c r="AZ136">
        <v>32122.9</v>
      </c>
      <c r="BB136" t="s">
        <v>206</v>
      </c>
      <c r="BF136" t="s">
        <v>393</v>
      </c>
      <c r="BJ136" t="s">
        <v>393</v>
      </c>
      <c r="BN136" t="s">
        <v>330</v>
      </c>
      <c r="BO136">
        <v>1800</v>
      </c>
      <c r="BP136">
        <v>1850</v>
      </c>
      <c r="BQ136">
        <f t="shared" si="26"/>
        <v>0</v>
      </c>
      <c r="BR136" t="s">
        <v>394</v>
      </c>
      <c r="BS136">
        <v>21792.73</v>
      </c>
      <c r="BT136">
        <v>9561.9500000000007</v>
      </c>
      <c r="BV136" t="s">
        <v>331</v>
      </c>
      <c r="BW136">
        <v>422.73</v>
      </c>
      <c r="BX136">
        <v>286.95</v>
      </c>
    </row>
    <row r="137" spans="1:76" x14ac:dyDescent="0.3">
      <c r="A137" t="s">
        <v>253</v>
      </c>
      <c r="B137" t="s">
        <v>339</v>
      </c>
      <c r="F137" s="75">
        <f t="shared" si="25"/>
        <v>0</v>
      </c>
      <c r="G137" t="s">
        <v>318</v>
      </c>
      <c r="H137">
        <v>10174.31</v>
      </c>
      <c r="I137">
        <v>3934</v>
      </c>
      <c r="J137" s="75">
        <f t="shared" si="20"/>
        <v>0</v>
      </c>
      <c r="L137" t="s">
        <v>319</v>
      </c>
      <c r="M137">
        <v>6040</v>
      </c>
      <c r="N137">
        <v>5940</v>
      </c>
      <c r="P137" t="s">
        <v>319</v>
      </c>
      <c r="Q137">
        <v>6040</v>
      </c>
      <c r="R137">
        <v>5940</v>
      </c>
      <c r="T137" t="s">
        <v>319</v>
      </c>
      <c r="U137">
        <v>6040</v>
      </c>
      <c r="V137">
        <v>5940</v>
      </c>
      <c r="X137" t="s">
        <v>319</v>
      </c>
      <c r="Y137">
        <v>6040</v>
      </c>
      <c r="Z137">
        <v>5940</v>
      </c>
      <c r="AB137" t="s">
        <v>320</v>
      </c>
      <c r="AC137">
        <v>16925</v>
      </c>
      <c r="AD137">
        <v>19000</v>
      </c>
      <c r="AG137" t="s">
        <v>320</v>
      </c>
      <c r="AH137">
        <v>16675</v>
      </c>
      <c r="AI137">
        <v>18750</v>
      </c>
      <c r="AL137" t="s">
        <v>321</v>
      </c>
      <c r="AM137">
        <v>300</v>
      </c>
      <c r="AN137">
        <v>0</v>
      </c>
      <c r="AP137" t="s">
        <v>324</v>
      </c>
      <c r="AQ137">
        <v>33262.5</v>
      </c>
      <c r="AR137">
        <v>3945.92</v>
      </c>
      <c r="AT137" t="s">
        <v>391</v>
      </c>
      <c r="AU137">
        <v>33728.699999999997</v>
      </c>
      <c r="AV137">
        <v>32122.9</v>
      </c>
      <c r="AX137" t="s">
        <v>324</v>
      </c>
      <c r="AY137">
        <v>33262.5</v>
      </c>
      <c r="AZ137">
        <v>3945.92</v>
      </c>
      <c r="BB137" t="s">
        <v>325</v>
      </c>
      <c r="BC137">
        <v>9963.2000000000007</v>
      </c>
      <c r="BD137">
        <v>12113.19</v>
      </c>
      <c r="BF137" t="s">
        <v>329</v>
      </c>
      <c r="BG137">
        <v>20017.5</v>
      </c>
      <c r="BH137">
        <v>19594.25</v>
      </c>
      <c r="BJ137" t="s">
        <v>329</v>
      </c>
      <c r="BK137">
        <v>18190</v>
      </c>
      <c r="BL137">
        <v>19594.25</v>
      </c>
      <c r="BN137" t="s">
        <v>43</v>
      </c>
      <c r="BO137">
        <v>16125</v>
      </c>
      <c r="BP137">
        <v>0</v>
      </c>
      <c r="BQ137">
        <f t="shared" si="26"/>
        <v>0</v>
      </c>
      <c r="BR137" t="s">
        <v>332</v>
      </c>
      <c r="BS137">
        <v>5303.5</v>
      </c>
      <c r="BT137">
        <v>4109.24</v>
      </c>
      <c r="BV137" t="s">
        <v>394</v>
      </c>
      <c r="BW137">
        <v>21792.73</v>
      </c>
      <c r="BX137">
        <v>9561.9500000000007</v>
      </c>
    </row>
    <row r="138" spans="1:76" x14ac:dyDescent="0.3">
      <c r="B138" t="s">
        <v>340</v>
      </c>
      <c r="F138" s="75">
        <f t="shared" si="25"/>
        <v>0</v>
      </c>
      <c r="G138" t="s">
        <v>319</v>
      </c>
      <c r="H138">
        <v>6040</v>
      </c>
      <c r="I138">
        <v>5940</v>
      </c>
      <c r="J138" s="75">
        <f t="shared" si="20"/>
        <v>0</v>
      </c>
      <c r="L138" t="s">
        <v>320</v>
      </c>
      <c r="M138">
        <v>16925</v>
      </c>
      <c r="N138">
        <v>19000</v>
      </c>
      <c r="P138" t="s">
        <v>320</v>
      </c>
      <c r="Q138">
        <v>16925</v>
      </c>
      <c r="R138">
        <v>19000</v>
      </c>
      <c r="T138" t="s">
        <v>320</v>
      </c>
      <c r="U138">
        <v>16925</v>
      </c>
      <c r="V138">
        <v>19000</v>
      </c>
      <c r="X138" t="s">
        <v>320</v>
      </c>
      <c r="Y138">
        <v>16925</v>
      </c>
      <c r="Z138">
        <v>19000</v>
      </c>
      <c r="AB138" t="s">
        <v>321</v>
      </c>
      <c r="AC138">
        <v>3710</v>
      </c>
      <c r="AD138">
        <v>0</v>
      </c>
      <c r="AG138" t="s">
        <v>321</v>
      </c>
      <c r="AH138">
        <v>435</v>
      </c>
      <c r="AI138">
        <v>0</v>
      </c>
      <c r="AL138" t="s">
        <v>322</v>
      </c>
      <c r="AM138">
        <v>16238.32</v>
      </c>
      <c r="AN138">
        <v>6257</v>
      </c>
      <c r="AP138" t="s">
        <v>392</v>
      </c>
      <c r="AQ138">
        <v>392462.54</v>
      </c>
      <c r="AR138">
        <v>340897.67</v>
      </c>
      <c r="AT138" t="s">
        <v>324</v>
      </c>
      <c r="AU138">
        <v>33262.5</v>
      </c>
      <c r="AV138">
        <v>3945.92</v>
      </c>
      <c r="AX138" t="s">
        <v>392</v>
      </c>
      <c r="AY138">
        <v>392462.54</v>
      </c>
      <c r="AZ138">
        <v>340897.67</v>
      </c>
      <c r="BB138" t="s">
        <v>327</v>
      </c>
      <c r="BC138">
        <v>8055.56</v>
      </c>
      <c r="BD138">
        <v>7453.06</v>
      </c>
      <c r="BF138" t="s">
        <v>330</v>
      </c>
      <c r="BG138">
        <v>3843.99</v>
      </c>
      <c r="BH138">
        <v>3271</v>
      </c>
      <c r="BJ138" t="s">
        <v>330</v>
      </c>
      <c r="BK138">
        <v>2400</v>
      </c>
      <c r="BL138">
        <v>2671</v>
      </c>
      <c r="BN138" t="s">
        <v>331</v>
      </c>
      <c r="BO138">
        <v>659.96</v>
      </c>
      <c r="BP138">
        <v>524.13</v>
      </c>
      <c r="BQ138">
        <f t="shared" si="26"/>
        <v>0</v>
      </c>
      <c r="BR138" t="s">
        <v>395</v>
      </c>
      <c r="BS138">
        <v>46935.02</v>
      </c>
      <c r="BT138">
        <v>29944.02</v>
      </c>
      <c r="BV138" t="s">
        <v>332</v>
      </c>
      <c r="BW138">
        <v>5303.5</v>
      </c>
      <c r="BX138">
        <v>4109.24</v>
      </c>
    </row>
    <row r="139" spans="1:76" x14ac:dyDescent="0.3">
      <c r="F139" s="75">
        <f t="shared" si="25"/>
        <v>0</v>
      </c>
      <c r="G139" t="s">
        <v>320</v>
      </c>
      <c r="H139">
        <v>16925</v>
      </c>
      <c r="I139">
        <v>19000</v>
      </c>
      <c r="J139" s="75">
        <f t="shared" si="20"/>
        <v>0</v>
      </c>
      <c r="L139" t="s">
        <v>321</v>
      </c>
      <c r="M139">
        <v>4460</v>
      </c>
      <c r="N139">
        <v>500</v>
      </c>
      <c r="P139" t="s">
        <v>321</v>
      </c>
      <c r="Q139">
        <v>4460</v>
      </c>
      <c r="R139">
        <v>500</v>
      </c>
      <c r="T139" t="s">
        <v>321</v>
      </c>
      <c r="U139">
        <v>4460</v>
      </c>
      <c r="V139">
        <v>500</v>
      </c>
      <c r="X139" t="s">
        <v>321</v>
      </c>
      <c r="Y139">
        <v>4460</v>
      </c>
      <c r="Z139">
        <v>500</v>
      </c>
      <c r="AB139" t="s">
        <v>322</v>
      </c>
      <c r="AC139">
        <v>19518.93</v>
      </c>
      <c r="AD139">
        <v>8826.76</v>
      </c>
      <c r="AG139" t="s">
        <v>322</v>
      </c>
      <c r="AH139">
        <v>17729.759999999998</v>
      </c>
      <c r="AI139">
        <v>6898.92</v>
      </c>
      <c r="AL139" t="s">
        <v>391</v>
      </c>
      <c r="AM139">
        <v>37831.040000000001</v>
      </c>
      <c r="AN139">
        <v>33771.78</v>
      </c>
      <c r="AP139" t="s">
        <v>206</v>
      </c>
      <c r="AT139" t="s">
        <v>392</v>
      </c>
      <c r="AU139">
        <v>392462.54</v>
      </c>
      <c r="AV139">
        <v>340897.67</v>
      </c>
      <c r="AX139" t="s">
        <v>206</v>
      </c>
      <c r="BB139" t="s">
        <v>328</v>
      </c>
      <c r="BC139">
        <v>12400.41</v>
      </c>
      <c r="BD139">
        <v>8719.75</v>
      </c>
      <c r="BF139" t="s">
        <v>43</v>
      </c>
      <c r="BG139">
        <v>23900</v>
      </c>
      <c r="BH139">
        <v>2700</v>
      </c>
      <c r="BJ139" t="s">
        <v>43</v>
      </c>
      <c r="BK139">
        <v>19675</v>
      </c>
      <c r="BL139">
        <v>0</v>
      </c>
      <c r="BN139" t="s">
        <v>394</v>
      </c>
      <c r="BO139">
        <v>27274.959999999999</v>
      </c>
      <c r="BP139">
        <v>16986.63</v>
      </c>
      <c r="BQ139">
        <f t="shared" si="26"/>
        <v>0</v>
      </c>
      <c r="BR139" t="s">
        <v>396</v>
      </c>
      <c r="BS139">
        <v>294762.87</v>
      </c>
      <c r="BT139">
        <v>194006.84</v>
      </c>
      <c r="BV139" t="s">
        <v>395</v>
      </c>
      <c r="BW139">
        <v>46935.02</v>
      </c>
      <c r="BX139">
        <v>29944.02</v>
      </c>
    </row>
    <row r="140" spans="1:76" x14ac:dyDescent="0.3">
      <c r="F140" s="75">
        <f t="shared" si="25"/>
        <v>0</v>
      </c>
      <c r="G140" t="s">
        <v>321</v>
      </c>
      <c r="H140">
        <v>4460</v>
      </c>
      <c r="I140">
        <v>500</v>
      </c>
      <c r="J140" s="75">
        <f t="shared" si="20"/>
        <v>0</v>
      </c>
      <c r="L140" t="s">
        <v>322</v>
      </c>
      <c r="M140">
        <v>22935.18</v>
      </c>
      <c r="N140">
        <v>10686.28</v>
      </c>
      <c r="P140" t="s">
        <v>322</v>
      </c>
      <c r="Q140">
        <v>22935.18</v>
      </c>
      <c r="R140">
        <v>10686.28</v>
      </c>
      <c r="T140" t="s">
        <v>322</v>
      </c>
      <c r="U140">
        <v>22935.18</v>
      </c>
      <c r="V140">
        <v>10686.28</v>
      </c>
      <c r="X140" t="s">
        <v>322</v>
      </c>
      <c r="Y140">
        <v>22935.18</v>
      </c>
      <c r="Z140">
        <v>10686.28</v>
      </c>
      <c r="AB140" t="s">
        <v>391</v>
      </c>
      <c r="AC140">
        <v>47784.59</v>
      </c>
      <c r="AD140">
        <v>37831.54</v>
      </c>
      <c r="AG140" t="s">
        <v>391</v>
      </c>
      <c r="AH140">
        <v>41306.21</v>
      </c>
      <c r="AI140">
        <v>35158.699999999997</v>
      </c>
      <c r="AL140" t="s">
        <v>324</v>
      </c>
      <c r="AM140">
        <v>34873.75</v>
      </c>
      <c r="AN140">
        <v>5672.17</v>
      </c>
      <c r="AP140" t="s">
        <v>325</v>
      </c>
      <c r="AQ140">
        <v>10959.6</v>
      </c>
      <c r="AR140">
        <v>12113.19</v>
      </c>
      <c r="AT140" t="s">
        <v>206</v>
      </c>
      <c r="AX140" t="s">
        <v>325</v>
      </c>
      <c r="AY140">
        <v>10959.6</v>
      </c>
      <c r="AZ140">
        <v>12113.19</v>
      </c>
      <c r="BB140" t="s">
        <v>393</v>
      </c>
      <c r="BF140" t="s">
        <v>331</v>
      </c>
      <c r="BG140">
        <v>955.5</v>
      </c>
      <c r="BH140">
        <v>778.69</v>
      </c>
      <c r="BJ140" t="s">
        <v>331</v>
      </c>
      <c r="BK140">
        <v>780.74</v>
      </c>
      <c r="BL140">
        <v>638.91</v>
      </c>
      <c r="BN140" t="s">
        <v>332</v>
      </c>
      <c r="BO140">
        <v>5303.5</v>
      </c>
      <c r="BP140">
        <v>4109.24</v>
      </c>
      <c r="BQ140">
        <f t="shared" si="26"/>
        <v>0</v>
      </c>
      <c r="BR140" t="s">
        <v>397</v>
      </c>
      <c r="BS140">
        <v>686553.25</v>
      </c>
      <c r="BT140">
        <v>673600.51</v>
      </c>
      <c r="BV140" t="s">
        <v>396</v>
      </c>
      <c r="BW140">
        <v>294762.87</v>
      </c>
      <c r="BX140">
        <v>194006.84</v>
      </c>
    </row>
    <row r="141" spans="1:76" x14ac:dyDescent="0.3">
      <c r="A141" t="s">
        <v>297</v>
      </c>
      <c r="B141" t="s">
        <v>334</v>
      </c>
      <c r="F141" s="75">
        <f t="shared" si="25"/>
        <v>0</v>
      </c>
      <c r="G141" t="s">
        <v>322</v>
      </c>
      <c r="H141">
        <v>22935.18</v>
      </c>
      <c r="I141">
        <v>10686.28</v>
      </c>
      <c r="J141" s="75">
        <f t="shared" si="20"/>
        <v>0</v>
      </c>
      <c r="L141" t="s">
        <v>391</v>
      </c>
      <c r="M141">
        <v>60922.09</v>
      </c>
      <c r="N141">
        <v>42681.06</v>
      </c>
      <c r="P141" t="s">
        <v>391</v>
      </c>
      <c r="Q141">
        <v>60922.09</v>
      </c>
      <c r="R141">
        <v>42681.06</v>
      </c>
      <c r="T141" t="s">
        <v>391</v>
      </c>
      <c r="U141">
        <v>60922.09</v>
      </c>
      <c r="V141">
        <v>42681.06</v>
      </c>
      <c r="X141" t="s">
        <v>391</v>
      </c>
      <c r="Y141">
        <v>60922.09</v>
      </c>
      <c r="Z141">
        <v>42681.06</v>
      </c>
      <c r="AB141" t="s">
        <v>324</v>
      </c>
      <c r="AC141">
        <v>40793.75</v>
      </c>
      <c r="AD141">
        <v>6683.42</v>
      </c>
      <c r="AG141" t="s">
        <v>324</v>
      </c>
      <c r="AH141">
        <v>35257.5</v>
      </c>
      <c r="AI141">
        <v>6218.42</v>
      </c>
      <c r="AL141" t="s">
        <v>392</v>
      </c>
      <c r="AM141">
        <v>447939.15</v>
      </c>
      <c r="AN141">
        <v>365117.68</v>
      </c>
      <c r="AP141" t="s">
        <v>327</v>
      </c>
      <c r="AQ141">
        <v>8201.81</v>
      </c>
      <c r="AR141">
        <v>7843.06</v>
      </c>
      <c r="AT141" t="s">
        <v>325</v>
      </c>
      <c r="AU141">
        <v>10959.6</v>
      </c>
      <c r="AV141">
        <v>12113.19</v>
      </c>
      <c r="AX141" t="s">
        <v>327</v>
      </c>
      <c r="AY141">
        <v>8201.81</v>
      </c>
      <c r="AZ141">
        <v>7843.06</v>
      </c>
      <c r="BB141" t="s">
        <v>329</v>
      </c>
      <c r="BC141">
        <v>20017.5</v>
      </c>
      <c r="BD141">
        <v>19594.25</v>
      </c>
      <c r="BF141" t="s">
        <v>394</v>
      </c>
      <c r="BG141">
        <v>48716.99</v>
      </c>
      <c r="BH141">
        <v>26343.94</v>
      </c>
      <c r="BJ141" t="s">
        <v>394</v>
      </c>
      <c r="BK141">
        <v>41045.74</v>
      </c>
      <c r="BL141">
        <v>22904.16</v>
      </c>
      <c r="BN141" t="s">
        <v>395</v>
      </c>
      <c r="BO141">
        <v>54125.72</v>
      </c>
      <c r="BP141">
        <v>38248.769999999997</v>
      </c>
      <c r="BQ141">
        <f t="shared" si="26"/>
        <v>0</v>
      </c>
      <c r="BR141" t="s">
        <v>398</v>
      </c>
      <c r="BS141">
        <v>1345806.14</v>
      </c>
      <c r="BT141">
        <v>975296.53</v>
      </c>
      <c r="BV141" t="s">
        <v>397</v>
      </c>
      <c r="BW141">
        <v>686553.25</v>
      </c>
      <c r="BX141">
        <v>673600.51</v>
      </c>
    </row>
    <row r="142" spans="1:76" x14ac:dyDescent="0.3">
      <c r="B142" t="s">
        <v>341</v>
      </c>
      <c r="F142" s="75">
        <f t="shared" si="25"/>
        <v>-60922.09</v>
      </c>
      <c r="G142" t="s">
        <v>391</v>
      </c>
      <c r="H142">
        <v>60922.09</v>
      </c>
      <c r="I142">
        <v>42681.06</v>
      </c>
      <c r="J142" s="75">
        <f t="shared" si="20"/>
        <v>-42681.06</v>
      </c>
      <c r="L142" t="s">
        <v>324</v>
      </c>
      <c r="M142">
        <v>41512.5</v>
      </c>
      <c r="N142">
        <v>7093.42</v>
      </c>
      <c r="P142" t="s">
        <v>324</v>
      </c>
      <c r="Q142">
        <v>41512.5</v>
      </c>
      <c r="R142">
        <v>7093.42</v>
      </c>
      <c r="T142" t="s">
        <v>324</v>
      </c>
      <c r="U142">
        <v>41512.5</v>
      </c>
      <c r="V142">
        <v>7093.42</v>
      </c>
      <c r="X142" t="s">
        <v>324</v>
      </c>
      <c r="Y142">
        <v>41512.5</v>
      </c>
      <c r="Z142">
        <v>7093.42</v>
      </c>
      <c r="AB142" t="s">
        <v>392</v>
      </c>
      <c r="AC142">
        <v>505809.76</v>
      </c>
      <c r="AD142">
        <v>454795.58</v>
      </c>
      <c r="AG142" t="s">
        <v>392</v>
      </c>
      <c r="AH142">
        <v>489699.13</v>
      </c>
      <c r="AI142">
        <v>414396.78</v>
      </c>
      <c r="AL142" t="s">
        <v>206</v>
      </c>
      <c r="AP142" t="s">
        <v>328</v>
      </c>
      <c r="AQ142">
        <v>12400.41</v>
      </c>
      <c r="AR142">
        <v>8719.75</v>
      </c>
      <c r="AT142" t="s">
        <v>327</v>
      </c>
      <c r="AU142">
        <v>8201.81</v>
      </c>
      <c r="AV142">
        <v>7843.06</v>
      </c>
      <c r="AX142" t="s">
        <v>328</v>
      </c>
      <c r="AY142">
        <v>12400.41</v>
      </c>
      <c r="AZ142">
        <v>8719.75</v>
      </c>
      <c r="BB142" t="s">
        <v>330</v>
      </c>
      <c r="BC142">
        <v>4443.99</v>
      </c>
      <c r="BD142">
        <v>3871</v>
      </c>
      <c r="BF142" t="s">
        <v>332</v>
      </c>
      <c r="BG142">
        <v>7867.75</v>
      </c>
      <c r="BH142">
        <v>6490.24</v>
      </c>
      <c r="BJ142" t="s">
        <v>332</v>
      </c>
      <c r="BK142">
        <v>5303.5</v>
      </c>
      <c r="BL142">
        <v>6490.24</v>
      </c>
      <c r="BN142" t="s">
        <v>396</v>
      </c>
      <c r="BO142">
        <v>370460.43</v>
      </c>
      <c r="BP142">
        <v>309906.46000000002</v>
      </c>
      <c r="BQ142">
        <f t="shared" si="26"/>
        <v>-42681.06</v>
      </c>
      <c r="BR142" t="s">
        <v>399</v>
      </c>
      <c r="BS142">
        <v>1345806.14</v>
      </c>
      <c r="BT142">
        <v>975296.53</v>
      </c>
      <c r="BV142" t="s">
        <v>398</v>
      </c>
      <c r="BW142">
        <v>1345806.14</v>
      </c>
      <c r="BX142">
        <v>975296.53</v>
      </c>
    </row>
    <row r="143" spans="1:76" x14ac:dyDescent="0.3">
      <c r="F143" s="75">
        <f t="shared" si="25"/>
        <v>0</v>
      </c>
      <c r="G143" t="s">
        <v>324</v>
      </c>
      <c r="H143">
        <v>41756.94</v>
      </c>
      <c r="I143">
        <v>7093.42</v>
      </c>
      <c r="J143" s="75">
        <f t="shared" si="20"/>
        <v>0</v>
      </c>
      <c r="L143" t="s">
        <v>392</v>
      </c>
      <c r="M143">
        <v>615108.78</v>
      </c>
      <c r="N143">
        <v>534304.5</v>
      </c>
      <c r="P143" t="s">
        <v>392</v>
      </c>
      <c r="Q143">
        <v>562209.6</v>
      </c>
      <c r="R143">
        <v>534304.5</v>
      </c>
      <c r="T143" t="s">
        <v>392</v>
      </c>
      <c r="U143">
        <v>562209.6</v>
      </c>
      <c r="V143">
        <v>534304.5</v>
      </c>
      <c r="X143" t="s">
        <v>392</v>
      </c>
      <c r="Y143">
        <v>562209.6</v>
      </c>
      <c r="Z143">
        <v>534304.5</v>
      </c>
      <c r="AB143" t="s">
        <v>206</v>
      </c>
      <c r="AC143"/>
      <c r="AD143"/>
      <c r="AG143" t="s">
        <v>206</v>
      </c>
      <c r="AL143" t="s">
        <v>325</v>
      </c>
      <c r="AM143">
        <v>10959.6</v>
      </c>
      <c r="AN143">
        <v>12798.34</v>
      </c>
      <c r="AP143" t="s">
        <v>393</v>
      </c>
      <c r="AT143" t="s">
        <v>328</v>
      </c>
      <c r="AU143">
        <v>12400.41</v>
      </c>
      <c r="AV143">
        <v>8719.75</v>
      </c>
      <c r="AX143" t="s">
        <v>393</v>
      </c>
      <c r="BB143" t="s">
        <v>43</v>
      </c>
      <c r="BC143">
        <v>25875</v>
      </c>
      <c r="BD143">
        <v>6225</v>
      </c>
      <c r="BF143" t="s">
        <v>395</v>
      </c>
      <c r="BG143">
        <v>87003.91</v>
      </c>
      <c r="BH143">
        <v>60499.38</v>
      </c>
      <c r="BJ143" t="s">
        <v>395</v>
      </c>
      <c r="BK143">
        <v>70246.5</v>
      </c>
      <c r="BL143">
        <v>51262.8</v>
      </c>
      <c r="BN143" t="s">
        <v>397</v>
      </c>
      <c r="BO143">
        <v>909819.18</v>
      </c>
      <c r="BP143">
        <v>935000.25</v>
      </c>
      <c r="BQ143">
        <f t="shared" si="26"/>
        <v>0</v>
      </c>
      <c r="BV143" t="s">
        <v>399</v>
      </c>
      <c r="BW143">
        <v>1345806.14</v>
      </c>
      <c r="BX143">
        <v>975296.53</v>
      </c>
    </row>
    <row r="144" spans="1:76" x14ac:dyDescent="0.3">
      <c r="F144" s="75">
        <f t="shared" si="25"/>
        <v>-615353.22</v>
      </c>
      <c r="G144" t="s">
        <v>392</v>
      </c>
      <c r="H144">
        <v>615353.22</v>
      </c>
      <c r="I144">
        <v>534304.5</v>
      </c>
      <c r="J144" s="75">
        <f t="shared" si="20"/>
        <v>-534304.5</v>
      </c>
      <c r="L144" t="s">
        <v>206</v>
      </c>
      <c r="P144" t="s">
        <v>206</v>
      </c>
      <c r="T144" t="s">
        <v>206</v>
      </c>
      <c r="X144" t="s">
        <v>206</v>
      </c>
      <c r="AB144" t="s">
        <v>325</v>
      </c>
      <c r="AC144">
        <v>11533.84</v>
      </c>
      <c r="AD144">
        <v>12798.34</v>
      </c>
      <c r="AG144" t="s">
        <v>325</v>
      </c>
      <c r="AH144">
        <v>10959.6</v>
      </c>
      <c r="AI144">
        <v>12798.34</v>
      </c>
      <c r="AL144" t="s">
        <v>327</v>
      </c>
      <c r="AM144">
        <v>8340.81</v>
      </c>
      <c r="AN144">
        <v>8163.06</v>
      </c>
      <c r="AP144" t="s">
        <v>329</v>
      </c>
      <c r="AQ144">
        <v>20017.5</v>
      </c>
      <c r="AR144">
        <v>19693.25</v>
      </c>
      <c r="AT144" t="s">
        <v>393</v>
      </c>
      <c r="AX144" t="s">
        <v>329</v>
      </c>
      <c r="AY144">
        <v>20017.5</v>
      </c>
      <c r="AZ144">
        <v>19693.25</v>
      </c>
      <c r="BB144" t="s">
        <v>331</v>
      </c>
      <c r="BC144">
        <v>1076.28</v>
      </c>
      <c r="BD144">
        <v>893.47</v>
      </c>
      <c r="BF144" t="s">
        <v>396</v>
      </c>
      <c r="BG144">
        <v>573239.22</v>
      </c>
      <c r="BH144">
        <v>474986</v>
      </c>
      <c r="BJ144" t="s">
        <v>396</v>
      </c>
      <c r="BK144">
        <v>455750.14</v>
      </c>
      <c r="BL144">
        <v>401478.71</v>
      </c>
      <c r="BN144" t="s">
        <v>398</v>
      </c>
      <c r="BO144">
        <v>1333071.1499999999</v>
      </c>
      <c r="BP144">
        <v>1261449.01</v>
      </c>
      <c r="BQ144">
        <f t="shared" si="26"/>
        <v>-534304.5</v>
      </c>
    </row>
    <row r="145" spans="1:69" x14ac:dyDescent="0.3">
      <c r="A145" t="s">
        <v>262</v>
      </c>
      <c r="B145" t="s">
        <v>342</v>
      </c>
      <c r="F145" s="75">
        <f t="shared" si="25"/>
        <v>0</v>
      </c>
      <c r="G145" t="s">
        <v>206</v>
      </c>
      <c r="J145" s="75">
        <f t="shared" si="20"/>
        <v>0</v>
      </c>
      <c r="L145" t="s">
        <v>325</v>
      </c>
      <c r="M145">
        <v>18741.099999999999</v>
      </c>
      <c r="N145">
        <v>15228.72</v>
      </c>
      <c r="P145" t="s">
        <v>325</v>
      </c>
      <c r="Q145">
        <v>17561.61</v>
      </c>
      <c r="R145">
        <v>15228.72</v>
      </c>
      <c r="T145" t="s">
        <v>325</v>
      </c>
      <c r="U145">
        <v>17561.61</v>
      </c>
      <c r="V145">
        <v>15228.72</v>
      </c>
      <c r="X145" t="s">
        <v>325</v>
      </c>
      <c r="Y145">
        <v>17561.61</v>
      </c>
      <c r="Z145">
        <v>15228.72</v>
      </c>
      <c r="AB145" t="s">
        <v>327</v>
      </c>
      <c r="AC145">
        <v>8460.81</v>
      </c>
      <c r="AD145">
        <v>8298.06</v>
      </c>
      <c r="AG145" t="s">
        <v>327</v>
      </c>
      <c r="AH145">
        <v>8460.81</v>
      </c>
      <c r="AI145">
        <v>8298.06</v>
      </c>
      <c r="AL145" t="s">
        <v>328</v>
      </c>
      <c r="AM145">
        <v>17131</v>
      </c>
      <c r="AN145">
        <v>11562</v>
      </c>
      <c r="AP145" t="s">
        <v>330</v>
      </c>
      <c r="AQ145">
        <v>5043.99</v>
      </c>
      <c r="AR145">
        <v>4524.75</v>
      </c>
      <c r="AT145" t="s">
        <v>329</v>
      </c>
      <c r="AU145">
        <v>20017.5</v>
      </c>
      <c r="AV145">
        <v>19693.25</v>
      </c>
      <c r="AX145" t="s">
        <v>330</v>
      </c>
      <c r="AY145">
        <v>5043.99</v>
      </c>
      <c r="AZ145">
        <v>4524.75</v>
      </c>
      <c r="BB145" t="s">
        <v>394</v>
      </c>
      <c r="BC145">
        <v>51412.77</v>
      </c>
      <c r="BD145">
        <v>30583.72</v>
      </c>
      <c r="BF145" t="s">
        <v>397</v>
      </c>
      <c r="BG145">
        <v>1474100.85</v>
      </c>
      <c r="BH145">
        <v>1397490.66</v>
      </c>
      <c r="BJ145" t="s">
        <v>397</v>
      </c>
      <c r="BK145">
        <v>1155796.8899999999</v>
      </c>
      <c r="BL145">
        <v>1184004.3500000001</v>
      </c>
      <c r="BN145" t="s">
        <v>399</v>
      </c>
      <c r="BO145">
        <v>1333071.1499999999</v>
      </c>
      <c r="BP145">
        <v>1261449.01</v>
      </c>
      <c r="BQ145">
        <f t="shared" si="26"/>
        <v>0</v>
      </c>
    </row>
    <row r="146" spans="1:69" x14ac:dyDescent="0.3">
      <c r="B146" t="s">
        <v>343</v>
      </c>
      <c r="F146" s="75">
        <f t="shared" si="25"/>
        <v>0</v>
      </c>
      <c r="G146" t="s">
        <v>325</v>
      </c>
      <c r="H146">
        <v>19431.98</v>
      </c>
      <c r="I146">
        <v>15228.72</v>
      </c>
      <c r="J146" s="75">
        <f t="shared" si="20"/>
        <v>0</v>
      </c>
      <c r="L146" t="s">
        <v>327</v>
      </c>
      <c r="M146">
        <v>9053.81</v>
      </c>
      <c r="N146">
        <v>10673.06</v>
      </c>
      <c r="P146" t="s">
        <v>327</v>
      </c>
      <c r="Q146">
        <v>9053.81</v>
      </c>
      <c r="R146">
        <v>10673.06</v>
      </c>
      <c r="T146" t="s">
        <v>327</v>
      </c>
      <c r="U146">
        <v>9053.81</v>
      </c>
      <c r="V146">
        <v>10673.06</v>
      </c>
      <c r="X146" t="s">
        <v>327</v>
      </c>
      <c r="Y146">
        <v>9053.81</v>
      </c>
      <c r="Z146">
        <v>10673.06</v>
      </c>
      <c r="AB146" t="s">
        <v>328</v>
      </c>
      <c r="AC146">
        <v>17131</v>
      </c>
      <c r="AD146">
        <v>11562</v>
      </c>
      <c r="AG146" t="s">
        <v>328</v>
      </c>
      <c r="AH146">
        <v>17131</v>
      </c>
      <c r="AI146">
        <v>11562</v>
      </c>
      <c r="AL146" t="s">
        <v>393</v>
      </c>
      <c r="AP146" t="s">
        <v>43</v>
      </c>
      <c r="AQ146">
        <v>31850</v>
      </c>
      <c r="AR146">
        <v>10075</v>
      </c>
      <c r="AT146" t="s">
        <v>330</v>
      </c>
      <c r="AU146">
        <v>5043.99</v>
      </c>
      <c r="AV146">
        <v>4524.75</v>
      </c>
      <c r="AX146" t="s">
        <v>43</v>
      </c>
      <c r="AY146">
        <v>31850</v>
      </c>
      <c r="AZ146">
        <v>10075</v>
      </c>
      <c r="BB146" t="s">
        <v>332</v>
      </c>
      <c r="BC146">
        <v>7867.75</v>
      </c>
      <c r="BD146">
        <v>6490.24</v>
      </c>
      <c r="BF146" t="s">
        <v>398</v>
      </c>
      <c r="BG146">
        <v>993326.25</v>
      </c>
      <c r="BH146">
        <v>1226266.75</v>
      </c>
      <c r="BJ146" t="s">
        <v>398</v>
      </c>
      <c r="BK146">
        <v>1201934.3</v>
      </c>
      <c r="BL146">
        <v>1163189.73</v>
      </c>
    </row>
    <row r="147" spans="1:69" x14ac:dyDescent="0.3">
      <c r="F147" s="75">
        <f t="shared" si="25"/>
        <v>0</v>
      </c>
      <c r="G147" t="s">
        <v>327</v>
      </c>
      <c r="H147">
        <v>9053.81</v>
      </c>
      <c r="I147">
        <v>10673.06</v>
      </c>
      <c r="J147" s="75">
        <f t="shared" si="20"/>
        <v>0</v>
      </c>
      <c r="L147" t="s">
        <v>328</v>
      </c>
      <c r="M147">
        <v>17131</v>
      </c>
      <c r="N147">
        <v>11562</v>
      </c>
      <c r="P147" t="s">
        <v>328</v>
      </c>
      <c r="Q147">
        <v>17131</v>
      </c>
      <c r="R147">
        <v>11562</v>
      </c>
      <c r="T147" t="s">
        <v>328</v>
      </c>
      <c r="U147">
        <v>17131</v>
      </c>
      <c r="V147">
        <v>11562</v>
      </c>
      <c r="X147" t="s">
        <v>328</v>
      </c>
      <c r="Y147">
        <v>17131</v>
      </c>
      <c r="Z147">
        <v>11562</v>
      </c>
      <c r="AB147" t="s">
        <v>393</v>
      </c>
      <c r="AC147"/>
      <c r="AD147"/>
      <c r="AG147" t="s">
        <v>393</v>
      </c>
      <c r="AL147" t="s">
        <v>329</v>
      </c>
      <c r="AM147">
        <v>20017.5</v>
      </c>
      <c r="AN147">
        <v>19693.25</v>
      </c>
      <c r="AP147" t="s">
        <v>331</v>
      </c>
      <c r="AQ147">
        <v>1201.3399999999999</v>
      </c>
      <c r="AR147">
        <v>1008.25</v>
      </c>
      <c r="AT147" t="s">
        <v>43</v>
      </c>
      <c r="AU147">
        <v>31850</v>
      </c>
      <c r="AV147">
        <v>10075</v>
      </c>
      <c r="AX147" t="s">
        <v>331</v>
      </c>
      <c r="AY147">
        <v>1201.3399999999999</v>
      </c>
      <c r="AZ147">
        <v>1008.25</v>
      </c>
      <c r="BB147" t="s">
        <v>395</v>
      </c>
      <c r="BC147">
        <v>89699.69</v>
      </c>
      <c r="BD147">
        <v>65359.96</v>
      </c>
      <c r="BF147" t="s">
        <v>399</v>
      </c>
      <c r="BG147">
        <v>993326.25</v>
      </c>
      <c r="BH147">
        <v>1226266.75</v>
      </c>
      <c r="BJ147" t="s">
        <v>399</v>
      </c>
      <c r="BK147">
        <v>1201934.3</v>
      </c>
      <c r="BL147">
        <v>1163189.73</v>
      </c>
    </row>
    <row r="148" spans="1:69" x14ac:dyDescent="0.3">
      <c r="F148" s="75">
        <f t="shared" si="25"/>
        <v>0</v>
      </c>
      <c r="G148" t="s">
        <v>328</v>
      </c>
      <c r="H148">
        <v>17131</v>
      </c>
      <c r="I148">
        <v>11562</v>
      </c>
      <c r="J148" s="75">
        <f t="shared" si="20"/>
        <v>0</v>
      </c>
      <c r="L148" t="s">
        <v>393</v>
      </c>
      <c r="P148" t="s">
        <v>393</v>
      </c>
      <c r="T148" t="s">
        <v>393</v>
      </c>
      <c r="X148" t="s">
        <v>393</v>
      </c>
      <c r="AB148" t="s">
        <v>329</v>
      </c>
      <c r="AC148">
        <v>20017.5</v>
      </c>
      <c r="AD148">
        <v>19693.25</v>
      </c>
      <c r="AG148" t="s">
        <v>329</v>
      </c>
      <c r="AH148">
        <v>20017.5</v>
      </c>
      <c r="AI148">
        <v>19693.25</v>
      </c>
      <c r="AL148" t="s">
        <v>330</v>
      </c>
      <c r="AM148">
        <v>6411.99</v>
      </c>
      <c r="AN148">
        <v>5124.75</v>
      </c>
      <c r="AP148" t="s">
        <v>394</v>
      </c>
      <c r="AQ148">
        <v>58112.83</v>
      </c>
      <c r="AR148">
        <v>35301.25</v>
      </c>
      <c r="AT148" t="s">
        <v>331</v>
      </c>
      <c r="AU148">
        <v>1201.3399999999999</v>
      </c>
      <c r="AV148">
        <v>1008.25</v>
      </c>
      <c r="AX148" t="s">
        <v>394</v>
      </c>
      <c r="AY148">
        <v>58112.83</v>
      </c>
      <c r="AZ148">
        <v>35301.25</v>
      </c>
      <c r="BB148" t="s">
        <v>396</v>
      </c>
      <c r="BC148">
        <v>631475.52</v>
      </c>
      <c r="BD148">
        <v>561205.67000000004</v>
      </c>
      <c r="BJ148" t="s">
        <v>540</v>
      </c>
      <c r="BK148">
        <v>4985.41</v>
      </c>
      <c r="BL148">
        <v>0</v>
      </c>
    </row>
    <row r="149" spans="1:69" x14ac:dyDescent="0.3">
      <c r="A149" t="s">
        <v>308</v>
      </c>
      <c r="B149" t="s">
        <v>342</v>
      </c>
      <c r="F149" s="75">
        <f t="shared" si="25"/>
        <v>0</v>
      </c>
      <c r="G149" t="s">
        <v>393</v>
      </c>
      <c r="J149" s="75">
        <f t="shared" si="20"/>
        <v>0</v>
      </c>
      <c r="L149" t="s">
        <v>329</v>
      </c>
      <c r="M149">
        <v>20490.599999999999</v>
      </c>
      <c r="N149">
        <v>19693.25</v>
      </c>
      <c r="P149" t="s">
        <v>329</v>
      </c>
      <c r="Q149">
        <v>20490.599999999999</v>
      </c>
      <c r="R149">
        <v>19693.25</v>
      </c>
      <c r="T149" t="s">
        <v>329</v>
      </c>
      <c r="U149">
        <v>20490.599999999999</v>
      </c>
      <c r="V149">
        <v>19693.25</v>
      </c>
      <c r="X149" t="s">
        <v>329</v>
      </c>
      <c r="Y149">
        <v>20490.599999999999</v>
      </c>
      <c r="Z149">
        <v>19693.25</v>
      </c>
      <c r="AB149" t="s">
        <v>330</v>
      </c>
      <c r="AC149">
        <v>9147.99</v>
      </c>
      <c r="AD149">
        <v>6924.75</v>
      </c>
      <c r="AG149" t="s">
        <v>330</v>
      </c>
      <c r="AH149">
        <v>7779.99</v>
      </c>
      <c r="AI149">
        <v>5724.75</v>
      </c>
      <c r="AL149" t="s">
        <v>43</v>
      </c>
      <c r="AM149">
        <v>36825</v>
      </c>
      <c r="AN149">
        <v>14900</v>
      </c>
      <c r="AP149" t="s">
        <v>332</v>
      </c>
      <c r="AQ149">
        <v>10432</v>
      </c>
      <c r="AR149">
        <v>8871.24</v>
      </c>
      <c r="AT149" t="s">
        <v>394</v>
      </c>
      <c r="AU149">
        <v>58112.83</v>
      </c>
      <c r="AV149">
        <v>35301.25</v>
      </c>
      <c r="AX149" t="s">
        <v>332</v>
      </c>
      <c r="AY149">
        <v>10432</v>
      </c>
      <c r="AZ149">
        <v>8871.24</v>
      </c>
      <c r="BB149" t="s">
        <v>397</v>
      </c>
      <c r="BC149">
        <v>1727699.31</v>
      </c>
      <c r="BD149">
        <v>1616185.35</v>
      </c>
      <c r="BJ149" t="s">
        <v>541</v>
      </c>
      <c r="BK149">
        <v>4985.41</v>
      </c>
      <c r="BL149">
        <v>0</v>
      </c>
    </row>
    <row r="150" spans="1:69" x14ac:dyDescent="0.3">
      <c r="B150" t="s">
        <v>344</v>
      </c>
      <c r="F150" s="75">
        <f t="shared" si="25"/>
        <v>0</v>
      </c>
      <c r="G150" t="s">
        <v>329</v>
      </c>
      <c r="H150">
        <v>12649.98</v>
      </c>
      <c r="I150">
        <v>19693.25</v>
      </c>
      <c r="J150" s="75">
        <f t="shared" si="20"/>
        <v>0</v>
      </c>
      <c r="L150" t="s">
        <v>330</v>
      </c>
      <c r="M150">
        <v>11439.69</v>
      </c>
      <c r="N150">
        <v>7524.75</v>
      </c>
      <c r="P150" t="s">
        <v>330</v>
      </c>
      <c r="Q150">
        <v>11439.69</v>
      </c>
      <c r="R150">
        <v>7524.75</v>
      </c>
      <c r="T150" t="s">
        <v>330</v>
      </c>
      <c r="U150">
        <v>11439.69</v>
      </c>
      <c r="V150">
        <v>7524.75</v>
      </c>
      <c r="X150" t="s">
        <v>330</v>
      </c>
      <c r="Y150">
        <v>11439.69</v>
      </c>
      <c r="Z150">
        <v>7524.75</v>
      </c>
      <c r="AB150" t="s">
        <v>43</v>
      </c>
      <c r="AC150">
        <v>54900</v>
      </c>
      <c r="AD150">
        <v>24925</v>
      </c>
      <c r="AG150" t="s">
        <v>43</v>
      </c>
      <c r="AH150">
        <v>45950</v>
      </c>
      <c r="AI150">
        <v>21150</v>
      </c>
      <c r="AL150" t="s">
        <v>331</v>
      </c>
      <c r="AM150">
        <v>1375.55</v>
      </c>
      <c r="AN150">
        <v>1123.03</v>
      </c>
      <c r="AP150" t="s">
        <v>395</v>
      </c>
      <c r="AQ150">
        <v>100106.65</v>
      </c>
      <c r="AR150">
        <v>72848.490000000005</v>
      </c>
      <c r="AT150" t="s">
        <v>332</v>
      </c>
      <c r="AU150">
        <v>10432</v>
      </c>
      <c r="AV150">
        <v>8871.24</v>
      </c>
      <c r="AX150" t="s">
        <v>395</v>
      </c>
      <c r="AY150">
        <v>100106.65</v>
      </c>
      <c r="AZ150">
        <v>72848.490000000005</v>
      </c>
      <c r="BB150" t="s">
        <v>398</v>
      </c>
      <c r="BC150">
        <v>957505.82</v>
      </c>
      <c r="BD150">
        <v>1197052.46</v>
      </c>
      <c r="BJ150" t="s">
        <v>542</v>
      </c>
      <c r="BK150">
        <v>-4985.41</v>
      </c>
      <c r="BL150">
        <v>0</v>
      </c>
    </row>
    <row r="151" spans="1:69" x14ac:dyDescent="0.3">
      <c r="F151" s="75">
        <f t="shared" si="25"/>
        <v>0</v>
      </c>
      <c r="G151" t="s">
        <v>330</v>
      </c>
      <c r="H151">
        <v>11439.69</v>
      </c>
      <c r="I151">
        <v>7524.75</v>
      </c>
      <c r="J151" s="75">
        <f t="shared" si="20"/>
        <v>0</v>
      </c>
      <c r="L151" t="s">
        <v>43</v>
      </c>
      <c r="M151">
        <v>76900</v>
      </c>
      <c r="N151">
        <v>35625</v>
      </c>
      <c r="P151" t="s">
        <v>43</v>
      </c>
      <c r="Q151">
        <v>76900</v>
      </c>
      <c r="R151">
        <v>35625</v>
      </c>
      <c r="T151" t="s">
        <v>43</v>
      </c>
      <c r="U151">
        <v>76900</v>
      </c>
      <c r="V151">
        <v>35625</v>
      </c>
      <c r="X151" t="s">
        <v>43</v>
      </c>
      <c r="Y151">
        <v>76900</v>
      </c>
      <c r="Z151">
        <v>35625</v>
      </c>
      <c r="AB151" t="s">
        <v>331</v>
      </c>
      <c r="AC151">
        <v>1679.65</v>
      </c>
      <c r="AD151">
        <v>1352.59</v>
      </c>
      <c r="AG151" t="s">
        <v>331</v>
      </c>
      <c r="AH151">
        <v>1554.59</v>
      </c>
      <c r="AI151">
        <v>1295.2</v>
      </c>
      <c r="AL151" t="s">
        <v>394</v>
      </c>
      <c r="AM151">
        <v>64630.04</v>
      </c>
      <c r="AN151">
        <v>40841.03</v>
      </c>
      <c r="AP151" t="s">
        <v>396</v>
      </c>
      <c r="AQ151">
        <v>753625.47</v>
      </c>
      <c r="AR151">
        <v>657586.15</v>
      </c>
      <c r="AT151" t="s">
        <v>395</v>
      </c>
      <c r="AU151">
        <v>100106.65</v>
      </c>
      <c r="AV151">
        <v>72848.490000000005</v>
      </c>
      <c r="AX151" t="s">
        <v>396</v>
      </c>
      <c r="AY151">
        <v>752668.18</v>
      </c>
      <c r="AZ151">
        <v>657586.15</v>
      </c>
      <c r="BB151" t="s">
        <v>399</v>
      </c>
      <c r="BC151">
        <v>957505.82</v>
      </c>
      <c r="BD151">
        <v>1197052.46</v>
      </c>
      <c r="BJ151" t="s">
        <v>399</v>
      </c>
      <c r="BK151">
        <v>1198201.8500000001</v>
      </c>
      <c r="BL151">
        <v>1163189.73</v>
      </c>
    </row>
    <row r="152" spans="1:69" x14ac:dyDescent="0.3">
      <c r="F152" s="75">
        <f t="shared" si="25"/>
        <v>0</v>
      </c>
      <c r="G152" t="s">
        <v>43</v>
      </c>
      <c r="H152">
        <v>76900</v>
      </c>
      <c r="I152">
        <v>35625</v>
      </c>
      <c r="J152" s="75">
        <f t="shared" si="20"/>
        <v>0</v>
      </c>
      <c r="L152" t="s">
        <v>331</v>
      </c>
      <c r="M152">
        <v>1804.71</v>
      </c>
      <c r="N152">
        <v>1467.37</v>
      </c>
      <c r="P152" t="s">
        <v>331</v>
      </c>
      <c r="Q152">
        <v>1804.71</v>
      </c>
      <c r="R152">
        <v>1467.37</v>
      </c>
      <c r="T152" t="s">
        <v>331</v>
      </c>
      <c r="U152">
        <v>1804.71</v>
      </c>
      <c r="V152">
        <v>1467.37</v>
      </c>
      <c r="X152" t="s">
        <v>331</v>
      </c>
      <c r="Y152">
        <v>1804.71</v>
      </c>
      <c r="Z152">
        <v>1467.37</v>
      </c>
      <c r="AB152" t="s">
        <v>394</v>
      </c>
      <c r="AC152">
        <v>85745.14</v>
      </c>
      <c r="AD152">
        <v>52895.59</v>
      </c>
      <c r="AG152" t="s">
        <v>394</v>
      </c>
      <c r="AH152">
        <v>75302.080000000002</v>
      </c>
      <c r="AI152">
        <v>47863.199999999997</v>
      </c>
      <c r="AL152" t="s">
        <v>332</v>
      </c>
      <c r="AM152">
        <v>10432</v>
      </c>
      <c r="AN152">
        <v>8871.24</v>
      </c>
      <c r="AP152" t="s">
        <v>397</v>
      </c>
      <c r="AQ152">
        <v>2046722.68</v>
      </c>
      <c r="AR152">
        <v>1878728.48</v>
      </c>
      <c r="AT152" t="s">
        <v>396</v>
      </c>
      <c r="AU152">
        <v>753625.47</v>
      </c>
      <c r="AV152">
        <v>657586.15</v>
      </c>
      <c r="AX152" t="s">
        <v>397</v>
      </c>
      <c r="AY152">
        <v>2034876.03</v>
      </c>
      <c r="AZ152">
        <v>1878728.48</v>
      </c>
      <c r="BJ152" t="s">
        <v>399</v>
      </c>
      <c r="BK152">
        <v>1199201.8500000001</v>
      </c>
      <c r="BL152">
        <v>1163189.73</v>
      </c>
    </row>
    <row r="153" spans="1:69" x14ac:dyDescent="0.3">
      <c r="F153" s="75">
        <f t="shared" si="25"/>
        <v>0</v>
      </c>
      <c r="G153" t="s">
        <v>331</v>
      </c>
      <c r="H153">
        <v>1804.71</v>
      </c>
      <c r="I153">
        <v>1467.37</v>
      </c>
      <c r="J153" s="75">
        <f t="shared" ref="J153:J155" si="27">SUMIFS(E:E,C:C,G153)-I153</f>
        <v>0</v>
      </c>
      <c r="L153" t="s">
        <v>394</v>
      </c>
      <c r="M153">
        <v>110635</v>
      </c>
      <c r="N153">
        <v>64310.37</v>
      </c>
      <c r="P153" t="s">
        <v>394</v>
      </c>
      <c r="Q153">
        <v>110635</v>
      </c>
      <c r="R153">
        <v>64310.37</v>
      </c>
      <c r="T153" t="s">
        <v>394</v>
      </c>
      <c r="U153">
        <v>110635</v>
      </c>
      <c r="V153">
        <v>64310.37</v>
      </c>
      <c r="X153" t="s">
        <v>394</v>
      </c>
      <c r="Y153">
        <v>110635</v>
      </c>
      <c r="Z153">
        <v>64310.37</v>
      </c>
      <c r="AB153" t="s">
        <v>332</v>
      </c>
      <c r="AC153">
        <v>10432</v>
      </c>
      <c r="AD153">
        <v>8871.24</v>
      </c>
      <c r="AG153" t="s">
        <v>332</v>
      </c>
      <c r="AH153">
        <v>10432</v>
      </c>
      <c r="AI153">
        <v>8871.24</v>
      </c>
      <c r="AL153" t="s">
        <v>395</v>
      </c>
      <c r="AM153">
        <v>111493.45</v>
      </c>
      <c r="AN153">
        <v>82235.67</v>
      </c>
      <c r="AP153" t="s">
        <v>398</v>
      </c>
      <c r="AQ153">
        <v>904634.06</v>
      </c>
      <c r="AR153">
        <v>1014893.99</v>
      </c>
      <c r="AT153" t="s">
        <v>397</v>
      </c>
      <c r="AU153">
        <v>2046722.68</v>
      </c>
      <c r="AV153">
        <v>1878728.48</v>
      </c>
      <c r="AX153" t="s">
        <v>398</v>
      </c>
      <c r="AY153">
        <v>896958.9</v>
      </c>
      <c r="AZ153">
        <v>1014893.99</v>
      </c>
    </row>
    <row r="154" spans="1:69" x14ac:dyDescent="0.3">
      <c r="F154" s="75">
        <f t="shared" si="25"/>
        <v>-102794.38</v>
      </c>
      <c r="G154" t="s">
        <v>394</v>
      </c>
      <c r="H154">
        <v>102794.38</v>
      </c>
      <c r="I154">
        <v>64310.37</v>
      </c>
      <c r="J154" s="75">
        <f t="shared" si="27"/>
        <v>-64310.37</v>
      </c>
      <c r="L154" t="s">
        <v>332</v>
      </c>
      <c r="M154">
        <v>10432</v>
      </c>
      <c r="N154">
        <v>8871.24</v>
      </c>
      <c r="P154" t="s">
        <v>332</v>
      </c>
      <c r="Q154">
        <v>10432</v>
      </c>
      <c r="R154">
        <v>8871.24</v>
      </c>
      <c r="T154" t="s">
        <v>332</v>
      </c>
      <c r="U154">
        <v>10432</v>
      </c>
      <c r="V154">
        <v>8871.24</v>
      </c>
      <c r="X154" t="s">
        <v>332</v>
      </c>
      <c r="Y154">
        <v>10432</v>
      </c>
      <c r="Z154">
        <v>8871.24</v>
      </c>
      <c r="AB154" t="s">
        <v>395</v>
      </c>
      <c r="AC154">
        <v>133302.79</v>
      </c>
      <c r="AD154">
        <v>94425.23</v>
      </c>
      <c r="AG154" t="s">
        <v>395</v>
      </c>
      <c r="AH154">
        <v>122285.49</v>
      </c>
      <c r="AI154">
        <v>89392.84</v>
      </c>
      <c r="AL154" t="s">
        <v>396</v>
      </c>
      <c r="AM154">
        <v>833289.43</v>
      </c>
      <c r="AN154">
        <v>715918.94</v>
      </c>
      <c r="AP154" t="s">
        <v>399</v>
      </c>
      <c r="AQ154">
        <v>904634.06</v>
      </c>
      <c r="AR154">
        <v>1014893.99</v>
      </c>
      <c r="AT154" t="s">
        <v>398</v>
      </c>
      <c r="AU154">
        <v>904634.06</v>
      </c>
      <c r="AV154">
        <v>1014893.99</v>
      </c>
      <c r="AX154" t="s">
        <v>399</v>
      </c>
      <c r="AY154">
        <v>896958.9</v>
      </c>
      <c r="AZ154">
        <v>1014893.99</v>
      </c>
    </row>
    <row r="155" spans="1:69" x14ac:dyDescent="0.3">
      <c r="F155" s="75">
        <f t="shared" si="25"/>
        <v>0</v>
      </c>
      <c r="G155" t="s">
        <v>332</v>
      </c>
      <c r="H155">
        <v>10432</v>
      </c>
      <c r="I155">
        <v>8871.24</v>
      </c>
      <c r="J155" s="75">
        <f t="shared" si="27"/>
        <v>0</v>
      </c>
      <c r="L155" t="s">
        <v>395</v>
      </c>
      <c r="M155">
        <v>165992.91</v>
      </c>
      <c r="N155">
        <v>110645.39</v>
      </c>
      <c r="P155" t="s">
        <v>395</v>
      </c>
      <c r="Q155">
        <v>164813.42000000001</v>
      </c>
      <c r="R155">
        <v>110645.39</v>
      </c>
      <c r="T155" t="s">
        <v>395</v>
      </c>
      <c r="U155">
        <v>164813.42000000001</v>
      </c>
      <c r="V155">
        <v>110645.39</v>
      </c>
      <c r="X155" t="s">
        <v>395</v>
      </c>
      <c r="Y155">
        <v>164813.42000000001</v>
      </c>
      <c r="Z155">
        <v>110645.39</v>
      </c>
      <c r="AB155" t="s">
        <v>396</v>
      </c>
      <c r="AC155">
        <v>961977.37</v>
      </c>
      <c r="AD155">
        <v>901456.75</v>
      </c>
      <c r="AG155" t="s">
        <v>396</v>
      </c>
      <c r="AH155">
        <v>917082.8</v>
      </c>
      <c r="AI155">
        <v>828811.44</v>
      </c>
      <c r="AL155" t="s">
        <v>397</v>
      </c>
      <c r="AM155">
        <v>2322238.7999999998</v>
      </c>
      <c r="AN155">
        <v>2090593.19</v>
      </c>
      <c r="AT155" t="s">
        <v>399</v>
      </c>
      <c r="AU155">
        <v>904634.06</v>
      </c>
      <c r="AV155">
        <v>1014893.99</v>
      </c>
    </row>
    <row r="156" spans="1:69" x14ac:dyDescent="0.3">
      <c r="G156" t="s">
        <v>395</v>
      </c>
      <c r="H156">
        <v>158843.17000000001</v>
      </c>
      <c r="I156">
        <v>110645.39</v>
      </c>
      <c r="L156" t="s">
        <v>396</v>
      </c>
      <c r="M156">
        <v>1161190.9099999999</v>
      </c>
      <c r="N156">
        <v>1074285.04</v>
      </c>
      <c r="P156" t="s">
        <v>396</v>
      </c>
      <c r="Q156">
        <v>1104090.8500000001</v>
      </c>
      <c r="R156">
        <v>1074285.04</v>
      </c>
      <c r="T156" t="s">
        <v>396</v>
      </c>
      <c r="U156">
        <v>1104090.8500000001</v>
      </c>
      <c r="V156">
        <v>1074285.04</v>
      </c>
      <c r="X156" t="s">
        <v>396</v>
      </c>
      <c r="Y156">
        <v>1104090.8500000001</v>
      </c>
      <c r="Z156">
        <v>1074285.04</v>
      </c>
      <c r="AB156" t="s">
        <v>397</v>
      </c>
      <c r="AC156">
        <v>2792949.05</v>
      </c>
      <c r="AD156">
        <v>2633620.0299999998</v>
      </c>
      <c r="AG156" t="s">
        <v>397</v>
      </c>
      <c r="AH156">
        <v>2587699.87</v>
      </c>
      <c r="AI156">
        <v>2357611.35</v>
      </c>
      <c r="AL156" t="s">
        <v>398</v>
      </c>
      <c r="AM156">
        <v>727577.07</v>
      </c>
      <c r="AN156">
        <v>858049.85</v>
      </c>
    </row>
    <row r="157" spans="1:69" x14ac:dyDescent="0.3">
      <c r="G157" t="s">
        <v>396</v>
      </c>
      <c r="H157">
        <v>1159894.6000000001</v>
      </c>
      <c r="I157">
        <v>1074285.04</v>
      </c>
      <c r="L157" t="s">
        <v>397</v>
      </c>
      <c r="M157">
        <v>3172747.16</v>
      </c>
      <c r="N157">
        <v>2968836.93</v>
      </c>
      <c r="P157" t="s">
        <v>397</v>
      </c>
      <c r="Q157">
        <v>3095303.93</v>
      </c>
      <c r="R157">
        <v>2968836.93</v>
      </c>
      <c r="T157" t="s">
        <v>397</v>
      </c>
      <c r="U157">
        <v>3095303.93</v>
      </c>
      <c r="V157">
        <v>2968836.93</v>
      </c>
      <c r="X157" t="s">
        <v>397</v>
      </c>
      <c r="Y157">
        <v>3090504.96</v>
      </c>
      <c r="Z157">
        <v>2968836.93</v>
      </c>
      <c r="AB157" t="s">
        <v>398</v>
      </c>
      <c r="AC157">
        <v>603029.68999999994</v>
      </c>
      <c r="AD157">
        <v>645155.35</v>
      </c>
      <c r="AG157" t="s">
        <v>398</v>
      </c>
      <c r="AH157">
        <v>734030.55</v>
      </c>
      <c r="AI157">
        <v>894850.36</v>
      </c>
      <c r="AL157" t="s">
        <v>399</v>
      </c>
      <c r="AM157">
        <v>727577.07</v>
      </c>
      <c r="AN157">
        <v>858049.85</v>
      </c>
    </row>
    <row r="158" spans="1:69" x14ac:dyDescent="0.3">
      <c r="G158" t="s">
        <v>397</v>
      </c>
      <c r="H158">
        <v>3178206.26</v>
      </c>
      <c r="I158">
        <v>2968836.93</v>
      </c>
      <c r="L158" t="s">
        <v>398</v>
      </c>
      <c r="M158">
        <v>229843.46</v>
      </c>
      <c r="N158">
        <v>340063.25</v>
      </c>
      <c r="P158" t="s">
        <v>398</v>
      </c>
      <c r="Q158">
        <v>316119.14</v>
      </c>
      <c r="R158">
        <v>340063.25</v>
      </c>
      <c r="T158" t="s">
        <v>398</v>
      </c>
      <c r="U158">
        <v>316119.14</v>
      </c>
      <c r="V158">
        <v>340063.25</v>
      </c>
      <c r="X158" t="s">
        <v>398</v>
      </c>
      <c r="Y158">
        <v>320918.11</v>
      </c>
      <c r="Z158">
        <v>340063.25</v>
      </c>
      <c r="AB158" t="s">
        <v>399</v>
      </c>
      <c r="AC158">
        <v>603029.68999999994</v>
      </c>
      <c r="AD158">
        <v>645155.35</v>
      </c>
      <c r="AG158" t="s">
        <v>399</v>
      </c>
      <c r="AH158">
        <v>734030.55</v>
      </c>
      <c r="AI158">
        <v>894850.36</v>
      </c>
    </row>
    <row r="159" spans="1:69" x14ac:dyDescent="0.3">
      <c r="G159" t="s">
        <v>398</v>
      </c>
      <c r="H159">
        <v>224384.36</v>
      </c>
      <c r="I159">
        <v>340063.25</v>
      </c>
      <c r="L159" t="s">
        <v>399</v>
      </c>
      <c r="M159">
        <v>229843.46</v>
      </c>
      <c r="N159">
        <v>340063.25</v>
      </c>
      <c r="P159" t="s">
        <v>399</v>
      </c>
      <c r="Q159">
        <v>316119.14</v>
      </c>
      <c r="R159">
        <v>340063.25</v>
      </c>
      <c r="T159" t="s">
        <v>399</v>
      </c>
      <c r="U159">
        <v>316119.14</v>
      </c>
      <c r="V159">
        <v>340063.25</v>
      </c>
      <c r="X159" t="s">
        <v>399</v>
      </c>
      <c r="Y159">
        <v>320918.11</v>
      </c>
      <c r="Z159">
        <v>340063.25</v>
      </c>
    </row>
    <row r="160" spans="1:69" x14ac:dyDescent="0.3">
      <c r="G160" t="s">
        <v>399</v>
      </c>
      <c r="H160">
        <v>224384.36</v>
      </c>
      <c r="I160">
        <v>340063.25</v>
      </c>
    </row>
  </sheetData>
  <autoFilter ref="A1:E159" xr:uid="{00000000-0001-0000-0900-000000000000}"/>
  <pageMargins left="0.7" right="0.7" top="0.75" bottom="0.75" header="0.3" footer="0.3"/>
  <pageSetup orientation="portrait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5C4E2-3E8D-4D0E-ADAB-9C74BCD06E9E}">
  <dimension ref="A1:AU155"/>
  <sheetViews>
    <sheetView workbookViewId="0">
      <selection activeCell="G2" sqref="G2"/>
    </sheetView>
  </sheetViews>
  <sheetFormatPr defaultRowHeight="14.4" x14ac:dyDescent="0.3"/>
  <cols>
    <col min="1" max="1" width="8.44140625" bestFit="1" customWidth="1"/>
    <col min="2" max="2" width="59.109375" bestFit="1" customWidth="1"/>
    <col min="3" max="3" width="33.88671875" bestFit="1" customWidth="1"/>
    <col min="4" max="5" width="12.109375" customWidth="1"/>
    <col min="6" max="6" width="13.33203125" style="102" bestFit="1" customWidth="1"/>
    <col min="7" max="7" width="38.109375" bestFit="1" customWidth="1"/>
    <col min="8" max="9" width="14.44140625" bestFit="1" customWidth="1"/>
    <col min="10" max="10" width="13.33203125" style="75" bestFit="1" customWidth="1"/>
    <col min="11" max="11" width="13.33203125" style="75" customWidth="1"/>
    <col min="12" max="12" width="38.109375" bestFit="1" customWidth="1"/>
    <col min="13" max="14" width="16.5546875" bestFit="1" customWidth="1"/>
    <col min="15" max="15" width="13.33203125" style="75" customWidth="1"/>
    <col min="16" max="16" width="38.109375" bestFit="1" customWidth="1"/>
    <col min="17" max="18" width="16.109375" bestFit="1" customWidth="1"/>
    <col min="19" max="19" width="13.33203125" style="75" customWidth="1"/>
    <col min="20" max="20" width="6.5546875" style="75" customWidth="1"/>
    <col min="21" max="21" width="38.109375" bestFit="1" customWidth="1"/>
    <col min="22" max="23" width="13.5546875" bestFit="1" customWidth="1"/>
    <col min="24" max="24" width="5.6640625" style="75" customWidth="1"/>
    <col min="25" max="25" width="38.109375" bestFit="1" customWidth="1"/>
    <col min="26" max="27" width="13.5546875" bestFit="1" customWidth="1"/>
    <col min="28" max="28" width="13.88671875" customWidth="1"/>
    <col min="29" max="29" width="38.109375" bestFit="1" customWidth="1"/>
    <col min="30" max="31" width="13.88671875" bestFit="1" customWidth="1"/>
    <col min="32" max="32" width="5.6640625" style="75" customWidth="1"/>
    <col min="33" max="33" width="38.109375" bestFit="1" customWidth="1"/>
    <col min="34" max="35" width="13.88671875" bestFit="1" customWidth="1"/>
    <col min="36" max="36" width="10" customWidth="1"/>
    <col min="37" max="37" width="38.109375" bestFit="1" customWidth="1"/>
    <col min="38" max="38" width="10.6640625" bestFit="1" customWidth="1"/>
    <col min="39" max="39" width="10" bestFit="1" customWidth="1"/>
    <col min="40" max="40" width="10" customWidth="1"/>
    <col min="41" max="41" width="38.109375" bestFit="1" customWidth="1"/>
    <col min="42" max="42" width="10.6640625" bestFit="1" customWidth="1"/>
    <col min="43" max="43" width="10" bestFit="1" customWidth="1"/>
    <col min="44" max="44" width="11.5546875" style="75" customWidth="1"/>
    <col min="45" max="45" width="38.109375" bestFit="1" customWidth="1"/>
    <col min="46" max="46" width="10.6640625" bestFit="1" customWidth="1"/>
    <col min="47" max="47" width="10" bestFit="1" customWidth="1"/>
  </cols>
  <sheetData>
    <row r="1" spans="1:47" x14ac:dyDescent="0.3">
      <c r="B1" t="s">
        <v>240</v>
      </c>
      <c r="C1" t="s">
        <v>241</v>
      </c>
      <c r="D1" s="63" t="s">
        <v>583</v>
      </c>
      <c r="E1" s="63" t="s">
        <v>400</v>
      </c>
      <c r="G1" t="s">
        <v>953</v>
      </c>
      <c r="H1" t="s">
        <v>947</v>
      </c>
      <c r="I1" t="s">
        <v>548</v>
      </c>
      <c r="L1" t="s">
        <v>785</v>
      </c>
      <c r="M1" t="s">
        <v>784</v>
      </c>
      <c r="N1" t="s">
        <v>545</v>
      </c>
      <c r="P1" t="s">
        <v>691</v>
      </c>
      <c r="Q1" t="s">
        <v>690</v>
      </c>
      <c r="R1" t="s">
        <v>517</v>
      </c>
      <c r="U1" t="s">
        <v>688</v>
      </c>
      <c r="V1" t="s">
        <v>686</v>
      </c>
      <c r="W1" t="s">
        <v>510</v>
      </c>
      <c r="Y1" t="s">
        <v>687</v>
      </c>
      <c r="Z1" t="s">
        <v>686</v>
      </c>
      <c r="AA1" t="s">
        <v>510</v>
      </c>
      <c r="AC1" t="s">
        <v>639</v>
      </c>
      <c r="AD1" t="s">
        <v>636</v>
      </c>
      <c r="AE1" t="s">
        <v>637</v>
      </c>
      <c r="AG1" t="s">
        <v>638</v>
      </c>
      <c r="AH1" t="s">
        <v>636</v>
      </c>
      <c r="AI1" t="s">
        <v>637</v>
      </c>
      <c r="AJ1" s="78"/>
      <c r="AK1" t="s">
        <v>591</v>
      </c>
      <c r="AL1" s="78">
        <v>45955</v>
      </c>
      <c r="AM1" s="78">
        <v>45954</v>
      </c>
      <c r="AN1" s="78"/>
      <c r="AO1" t="s">
        <v>584</v>
      </c>
      <c r="AP1" s="78">
        <v>45955</v>
      </c>
      <c r="AQ1" s="78">
        <v>45954</v>
      </c>
      <c r="AS1" t="s">
        <v>584</v>
      </c>
      <c r="AT1" s="78">
        <v>45955</v>
      </c>
      <c r="AU1" s="78">
        <v>45954</v>
      </c>
    </row>
    <row r="2" spans="1:47" x14ac:dyDescent="0.3">
      <c r="G2" t="s">
        <v>346</v>
      </c>
      <c r="L2" t="s">
        <v>346</v>
      </c>
      <c r="P2" t="s">
        <v>346</v>
      </c>
      <c r="U2" t="s">
        <v>346</v>
      </c>
      <c r="Y2" t="s">
        <v>346</v>
      </c>
      <c r="AC2" t="s">
        <v>346</v>
      </c>
      <c r="AG2" t="s">
        <v>346</v>
      </c>
      <c r="AK2" t="s">
        <v>346</v>
      </c>
      <c r="AO2" t="s">
        <v>346</v>
      </c>
      <c r="AS2" t="s">
        <v>346</v>
      </c>
    </row>
    <row r="3" spans="1:47" x14ac:dyDescent="0.3">
      <c r="B3" t="s">
        <v>12</v>
      </c>
      <c r="C3" t="s">
        <v>243</v>
      </c>
      <c r="D3">
        <f t="shared" ref="D3:D66" si="0">SUMIFS(H:H,G:G,C3)</f>
        <v>0</v>
      </c>
      <c r="E3">
        <f t="shared" ref="E3:E66" si="1">SUMIFS(I:I,G:G,C3)</f>
        <v>0</v>
      </c>
      <c r="G3" t="s">
        <v>347</v>
      </c>
      <c r="L3" t="s">
        <v>347</v>
      </c>
      <c r="P3" t="s">
        <v>347</v>
      </c>
      <c r="U3" t="s">
        <v>347</v>
      </c>
      <c r="Y3" t="s">
        <v>347</v>
      </c>
      <c r="AC3" t="s">
        <v>347</v>
      </c>
      <c r="AG3" t="s">
        <v>347</v>
      </c>
      <c r="AK3" t="s">
        <v>347</v>
      </c>
      <c r="AO3" t="s">
        <v>347</v>
      </c>
      <c r="AS3" t="s">
        <v>347</v>
      </c>
    </row>
    <row r="4" spans="1:47" x14ac:dyDescent="0.3">
      <c r="A4" t="s">
        <v>9</v>
      </c>
      <c r="B4" t="s">
        <v>12</v>
      </c>
      <c r="D4">
        <f t="shared" si="0"/>
        <v>0</v>
      </c>
      <c r="E4">
        <f t="shared" si="1"/>
        <v>0</v>
      </c>
      <c r="G4" t="s">
        <v>104</v>
      </c>
      <c r="J4" s="75">
        <f t="shared" ref="J4:J35" si="2">SUMIFS(E:E,C:C,G4)-I4</f>
        <v>0</v>
      </c>
      <c r="L4" t="s">
        <v>104</v>
      </c>
      <c r="P4" t="s">
        <v>104</v>
      </c>
      <c r="U4" t="s">
        <v>104</v>
      </c>
      <c r="Y4" t="s">
        <v>104</v>
      </c>
      <c r="AC4" t="s">
        <v>104</v>
      </c>
      <c r="AG4" t="s">
        <v>104</v>
      </c>
      <c r="AK4" t="s">
        <v>104</v>
      </c>
      <c r="AO4" t="s">
        <v>104</v>
      </c>
      <c r="AS4" t="s">
        <v>104</v>
      </c>
    </row>
    <row r="5" spans="1:47" x14ac:dyDescent="0.3">
      <c r="A5" t="s">
        <v>585</v>
      </c>
      <c r="B5" t="s">
        <v>560</v>
      </c>
      <c r="C5" t="s">
        <v>244</v>
      </c>
      <c r="D5">
        <f t="shared" si="0"/>
        <v>0</v>
      </c>
      <c r="E5">
        <f t="shared" si="1"/>
        <v>0</v>
      </c>
      <c r="F5" s="102">
        <f t="shared" ref="F5:F36" si="3">SUMIFS(D:D,C:C,G5)-H5</f>
        <v>0</v>
      </c>
      <c r="G5" t="s">
        <v>2</v>
      </c>
      <c r="H5">
        <v>1673422.64</v>
      </c>
      <c r="I5">
        <v>1594310.02</v>
      </c>
      <c r="J5" s="75">
        <f t="shared" si="2"/>
        <v>0</v>
      </c>
      <c r="L5" t="s">
        <v>2</v>
      </c>
      <c r="M5">
        <v>1632567.25</v>
      </c>
      <c r="N5">
        <v>1551598.45</v>
      </c>
      <c r="P5" t="s">
        <v>2</v>
      </c>
      <c r="Q5">
        <v>1557795.23</v>
      </c>
      <c r="R5">
        <v>1474259.44</v>
      </c>
      <c r="U5" t="s">
        <v>2</v>
      </c>
      <c r="V5">
        <v>1483862.73</v>
      </c>
      <c r="W5">
        <v>1320704.6000000001</v>
      </c>
      <c r="Y5" t="s">
        <v>2</v>
      </c>
      <c r="Z5">
        <v>1483862.73</v>
      </c>
      <c r="AA5">
        <v>1320704.6000000001</v>
      </c>
      <c r="AC5" t="s">
        <v>2</v>
      </c>
      <c r="AD5">
        <v>306809.02</v>
      </c>
      <c r="AE5">
        <v>249894.96</v>
      </c>
      <c r="AG5" t="s">
        <v>2</v>
      </c>
      <c r="AH5">
        <v>306809.02</v>
      </c>
      <c r="AI5">
        <v>249894.96</v>
      </c>
      <c r="AK5" t="s">
        <v>348</v>
      </c>
      <c r="AO5" t="s">
        <v>348</v>
      </c>
      <c r="AS5" t="s">
        <v>348</v>
      </c>
    </row>
    <row r="6" spans="1:47" x14ac:dyDescent="0.3">
      <c r="A6" t="s">
        <v>9</v>
      </c>
      <c r="B6" t="s">
        <v>2</v>
      </c>
      <c r="C6" t="s">
        <v>2</v>
      </c>
      <c r="D6">
        <f t="shared" si="0"/>
        <v>1673422.64</v>
      </c>
      <c r="E6">
        <f t="shared" si="1"/>
        <v>1594310.02</v>
      </c>
      <c r="F6" s="102">
        <f t="shared" si="3"/>
        <v>0</v>
      </c>
      <c r="G6" t="s">
        <v>348</v>
      </c>
      <c r="J6" s="75">
        <f t="shared" si="2"/>
        <v>0</v>
      </c>
      <c r="L6" t="s">
        <v>348</v>
      </c>
      <c r="P6" t="s">
        <v>348</v>
      </c>
      <c r="U6" t="s">
        <v>348</v>
      </c>
      <c r="Y6" t="s">
        <v>348</v>
      </c>
      <c r="AC6" t="s">
        <v>348</v>
      </c>
      <c r="AG6" t="s">
        <v>348</v>
      </c>
      <c r="AK6" t="s">
        <v>106</v>
      </c>
      <c r="AL6">
        <v>637.5</v>
      </c>
      <c r="AM6">
        <v>150</v>
      </c>
      <c r="AO6" t="s">
        <v>106</v>
      </c>
      <c r="AP6">
        <v>637.5</v>
      </c>
      <c r="AQ6">
        <v>150</v>
      </c>
      <c r="AS6" t="s">
        <v>106</v>
      </c>
      <c r="AT6">
        <v>637.5</v>
      </c>
      <c r="AU6">
        <v>150</v>
      </c>
    </row>
    <row r="7" spans="1:47" x14ac:dyDescent="0.3">
      <c r="A7" t="s">
        <v>585</v>
      </c>
      <c r="B7" t="s">
        <v>105</v>
      </c>
      <c r="C7" t="s">
        <v>246</v>
      </c>
      <c r="D7">
        <f t="shared" si="0"/>
        <v>350000</v>
      </c>
      <c r="E7">
        <f t="shared" si="1"/>
        <v>400000</v>
      </c>
      <c r="F7" s="102">
        <f t="shared" si="3"/>
        <v>0</v>
      </c>
      <c r="G7" t="s">
        <v>246</v>
      </c>
      <c r="H7">
        <v>350000</v>
      </c>
      <c r="I7">
        <v>400000</v>
      </c>
      <c r="J7" s="75">
        <f t="shared" si="2"/>
        <v>0</v>
      </c>
      <c r="L7" t="s">
        <v>246</v>
      </c>
      <c r="M7">
        <v>350000</v>
      </c>
      <c r="N7">
        <v>400000</v>
      </c>
      <c r="P7" t="s">
        <v>246</v>
      </c>
      <c r="Q7">
        <v>350000</v>
      </c>
      <c r="R7">
        <v>400000</v>
      </c>
      <c r="U7" t="s">
        <v>246</v>
      </c>
      <c r="V7">
        <v>350000</v>
      </c>
      <c r="W7">
        <v>400000</v>
      </c>
      <c r="Y7" t="s">
        <v>246</v>
      </c>
      <c r="Z7">
        <v>350000</v>
      </c>
      <c r="AA7">
        <v>400000</v>
      </c>
      <c r="AC7" t="s">
        <v>106</v>
      </c>
      <c r="AD7">
        <v>2056.5</v>
      </c>
      <c r="AE7">
        <v>2815</v>
      </c>
      <c r="AG7" t="s">
        <v>106</v>
      </c>
      <c r="AH7">
        <v>2056.5</v>
      </c>
      <c r="AI7">
        <v>2815</v>
      </c>
      <c r="AK7" t="s">
        <v>110</v>
      </c>
      <c r="AL7">
        <v>5833.16</v>
      </c>
      <c r="AM7">
        <v>85.36</v>
      </c>
      <c r="AO7" t="s">
        <v>110</v>
      </c>
      <c r="AP7">
        <v>5833.16</v>
      </c>
      <c r="AQ7">
        <v>85.36</v>
      </c>
      <c r="AS7" t="s">
        <v>110</v>
      </c>
      <c r="AT7">
        <v>5833.16</v>
      </c>
      <c r="AU7">
        <v>85.36</v>
      </c>
    </row>
    <row r="8" spans="1:47" x14ac:dyDescent="0.3">
      <c r="A8" t="s">
        <v>585</v>
      </c>
      <c r="B8" t="s">
        <v>106</v>
      </c>
      <c r="C8" t="s">
        <v>106</v>
      </c>
      <c r="D8">
        <f t="shared" si="0"/>
        <v>15502.5</v>
      </c>
      <c r="E8">
        <f t="shared" si="1"/>
        <v>20352.75</v>
      </c>
      <c r="F8" s="102">
        <f t="shared" si="3"/>
        <v>0</v>
      </c>
      <c r="G8" t="s">
        <v>106</v>
      </c>
      <c r="H8">
        <v>15502.5</v>
      </c>
      <c r="I8">
        <v>20352.75</v>
      </c>
      <c r="J8" s="75">
        <f t="shared" si="2"/>
        <v>0</v>
      </c>
      <c r="L8" t="s">
        <v>106</v>
      </c>
      <c r="M8">
        <v>13621.5</v>
      </c>
      <c r="N8">
        <v>14134.75</v>
      </c>
      <c r="P8" t="s">
        <v>106</v>
      </c>
      <c r="Q8">
        <v>10115.5</v>
      </c>
      <c r="R8">
        <v>12105.75</v>
      </c>
      <c r="U8" t="s">
        <v>106</v>
      </c>
      <c r="V8">
        <v>6028.5</v>
      </c>
      <c r="W8">
        <v>5280</v>
      </c>
      <c r="Y8" t="s">
        <v>106</v>
      </c>
      <c r="Z8">
        <v>6028.5</v>
      </c>
      <c r="AA8">
        <v>5280</v>
      </c>
      <c r="AC8" t="s">
        <v>110</v>
      </c>
      <c r="AD8">
        <v>8877.31</v>
      </c>
      <c r="AE8">
        <v>-951.36</v>
      </c>
      <c r="AG8" t="s">
        <v>110</v>
      </c>
      <c r="AH8">
        <v>8806.66</v>
      </c>
      <c r="AI8">
        <v>-951.36</v>
      </c>
      <c r="AK8" t="s">
        <v>109</v>
      </c>
      <c r="AL8">
        <v>-338.27</v>
      </c>
      <c r="AM8">
        <v>3329.75</v>
      </c>
      <c r="AO8" t="s">
        <v>109</v>
      </c>
      <c r="AP8">
        <v>-338.27</v>
      </c>
      <c r="AQ8">
        <v>3329.75</v>
      </c>
      <c r="AS8" t="s">
        <v>109</v>
      </c>
      <c r="AT8">
        <v>-338.27</v>
      </c>
      <c r="AU8">
        <v>3329.75</v>
      </c>
    </row>
    <row r="9" spans="1:47" x14ac:dyDescent="0.3">
      <c r="A9" t="s">
        <v>585</v>
      </c>
      <c r="B9" t="s">
        <v>107</v>
      </c>
      <c r="C9" t="s">
        <v>107</v>
      </c>
      <c r="D9">
        <f t="shared" si="0"/>
        <v>1000</v>
      </c>
      <c r="E9">
        <f t="shared" si="1"/>
        <v>3000</v>
      </c>
      <c r="F9" s="102">
        <f t="shared" si="3"/>
        <v>0</v>
      </c>
      <c r="G9" t="s">
        <v>110</v>
      </c>
      <c r="H9">
        <v>11062.71</v>
      </c>
      <c r="I9">
        <v>10919.45</v>
      </c>
      <c r="J9" s="75">
        <f t="shared" si="2"/>
        <v>0</v>
      </c>
      <c r="L9" t="s">
        <v>110</v>
      </c>
      <c r="M9">
        <v>9484.36</v>
      </c>
      <c r="N9">
        <v>7419.94</v>
      </c>
      <c r="P9" t="s">
        <v>110</v>
      </c>
      <c r="Q9">
        <v>6405.19</v>
      </c>
      <c r="R9">
        <v>5424.75</v>
      </c>
      <c r="U9" t="s">
        <v>110</v>
      </c>
      <c r="V9">
        <v>15205.79</v>
      </c>
      <c r="W9">
        <v>1834.77</v>
      </c>
      <c r="Y9" t="s">
        <v>110</v>
      </c>
      <c r="Z9">
        <v>15205.79</v>
      </c>
      <c r="AA9">
        <v>1834.77</v>
      </c>
      <c r="AC9" t="s">
        <v>109</v>
      </c>
      <c r="AD9">
        <v>6659.69</v>
      </c>
      <c r="AE9">
        <v>5046.0200000000004</v>
      </c>
      <c r="AG9" t="s">
        <v>109</v>
      </c>
      <c r="AH9">
        <v>6468.84</v>
      </c>
      <c r="AI9">
        <v>5046.0200000000004</v>
      </c>
      <c r="AK9" t="s">
        <v>108</v>
      </c>
      <c r="AL9">
        <v>11686</v>
      </c>
      <c r="AM9">
        <v>9590.66</v>
      </c>
      <c r="AO9" t="s">
        <v>108</v>
      </c>
      <c r="AP9">
        <v>11686</v>
      </c>
      <c r="AQ9">
        <v>9590.66</v>
      </c>
      <c r="AS9" t="s">
        <v>108</v>
      </c>
      <c r="AT9">
        <v>11686</v>
      </c>
      <c r="AU9">
        <v>9590.66</v>
      </c>
    </row>
    <row r="10" spans="1:47" x14ac:dyDescent="0.3">
      <c r="A10" t="s">
        <v>585</v>
      </c>
      <c r="B10" t="s">
        <v>108</v>
      </c>
      <c r="C10" t="s">
        <v>108</v>
      </c>
      <c r="D10">
        <f t="shared" si="0"/>
        <v>40812.5</v>
      </c>
      <c r="E10">
        <f t="shared" si="1"/>
        <v>51490.74</v>
      </c>
      <c r="F10" s="102">
        <f t="shared" si="3"/>
        <v>0</v>
      </c>
      <c r="G10" t="s">
        <v>109</v>
      </c>
      <c r="H10">
        <v>91183.81</v>
      </c>
      <c r="I10">
        <v>105033.71</v>
      </c>
      <c r="J10" s="75">
        <f t="shared" si="2"/>
        <v>0</v>
      </c>
      <c r="L10" t="s">
        <v>109</v>
      </c>
      <c r="M10">
        <v>65491.58</v>
      </c>
      <c r="N10">
        <v>78050.16</v>
      </c>
      <c r="P10" t="s">
        <v>109</v>
      </c>
      <c r="Q10">
        <v>30021.42</v>
      </c>
      <c r="R10">
        <v>60402.29</v>
      </c>
      <c r="U10" t="s">
        <v>109</v>
      </c>
      <c r="V10">
        <v>15307.72</v>
      </c>
      <c r="W10">
        <v>35849.68</v>
      </c>
      <c r="Y10" t="s">
        <v>109</v>
      </c>
      <c r="Z10">
        <v>15307.72</v>
      </c>
      <c r="AA10">
        <v>35849.68</v>
      </c>
      <c r="AC10" t="s">
        <v>107</v>
      </c>
      <c r="AD10">
        <v>0</v>
      </c>
      <c r="AE10">
        <v>1000</v>
      </c>
      <c r="AG10" t="s">
        <v>107</v>
      </c>
      <c r="AH10">
        <v>0</v>
      </c>
      <c r="AI10">
        <v>1000</v>
      </c>
      <c r="AK10" t="s">
        <v>247</v>
      </c>
      <c r="AL10">
        <v>0</v>
      </c>
      <c r="AM10">
        <v>225203</v>
      </c>
      <c r="AO10" t="s">
        <v>247</v>
      </c>
      <c r="AP10">
        <v>0</v>
      </c>
      <c r="AQ10">
        <v>225203</v>
      </c>
      <c r="AS10" t="s">
        <v>247</v>
      </c>
      <c r="AT10">
        <v>0</v>
      </c>
      <c r="AU10">
        <v>225203</v>
      </c>
    </row>
    <row r="11" spans="1:47" x14ac:dyDescent="0.3">
      <c r="A11" t="s">
        <v>585</v>
      </c>
      <c r="B11" t="s">
        <v>109</v>
      </c>
      <c r="C11" t="s">
        <v>109</v>
      </c>
      <c r="D11">
        <f t="shared" si="0"/>
        <v>91183.81</v>
      </c>
      <c r="E11">
        <f t="shared" si="1"/>
        <v>105033.71</v>
      </c>
      <c r="F11" s="102">
        <f t="shared" si="3"/>
        <v>0</v>
      </c>
      <c r="G11" t="s">
        <v>107</v>
      </c>
      <c r="H11">
        <v>1000</v>
      </c>
      <c r="I11">
        <v>3000</v>
      </c>
      <c r="J11" s="75">
        <f t="shared" si="2"/>
        <v>0</v>
      </c>
      <c r="L11" t="s">
        <v>107</v>
      </c>
      <c r="M11">
        <v>1000</v>
      </c>
      <c r="N11">
        <v>1000</v>
      </c>
      <c r="P11" t="s">
        <v>107</v>
      </c>
      <c r="Q11">
        <v>1000</v>
      </c>
      <c r="R11">
        <v>1000</v>
      </c>
      <c r="U11" t="s">
        <v>107</v>
      </c>
      <c r="V11">
        <v>0</v>
      </c>
      <c r="W11">
        <v>1000</v>
      </c>
      <c r="Y11" t="s">
        <v>107</v>
      </c>
      <c r="Z11">
        <v>0</v>
      </c>
      <c r="AA11">
        <v>1000</v>
      </c>
      <c r="AC11" t="s">
        <v>108</v>
      </c>
      <c r="AD11">
        <v>18076</v>
      </c>
      <c r="AE11">
        <v>23658.17</v>
      </c>
      <c r="AG11" t="s">
        <v>108</v>
      </c>
      <c r="AH11">
        <v>18076</v>
      </c>
      <c r="AI11">
        <v>23658.17</v>
      </c>
      <c r="AK11" t="s">
        <v>349</v>
      </c>
      <c r="AL11">
        <v>17818.39</v>
      </c>
      <c r="AM11">
        <v>238358.77</v>
      </c>
      <c r="AO11" t="s">
        <v>349</v>
      </c>
      <c r="AP11">
        <v>17818.39</v>
      </c>
      <c r="AQ11">
        <v>238358.77</v>
      </c>
      <c r="AS11" t="s">
        <v>349</v>
      </c>
      <c r="AT11">
        <v>17818.39</v>
      </c>
      <c r="AU11">
        <v>238358.77</v>
      </c>
    </row>
    <row r="12" spans="1:47" x14ac:dyDescent="0.3">
      <c r="A12" t="s">
        <v>585</v>
      </c>
      <c r="B12" t="s">
        <v>110</v>
      </c>
      <c r="C12" t="s">
        <v>110</v>
      </c>
      <c r="D12">
        <f t="shared" si="0"/>
        <v>11062.71</v>
      </c>
      <c r="E12">
        <f t="shared" si="1"/>
        <v>10919.45</v>
      </c>
      <c r="F12" s="102">
        <f t="shared" si="3"/>
        <v>0</v>
      </c>
      <c r="G12" t="s">
        <v>108</v>
      </c>
      <c r="H12">
        <v>40812.5</v>
      </c>
      <c r="I12">
        <v>51490.74</v>
      </c>
      <c r="J12" s="75">
        <f t="shared" si="2"/>
        <v>0</v>
      </c>
      <c r="L12" t="s">
        <v>108</v>
      </c>
      <c r="M12">
        <v>39812.5</v>
      </c>
      <c r="N12">
        <v>44157.24</v>
      </c>
      <c r="P12" t="s">
        <v>108</v>
      </c>
      <c r="Q12">
        <v>33475</v>
      </c>
      <c r="R12">
        <v>36762.839999999997</v>
      </c>
      <c r="U12" t="s">
        <v>108</v>
      </c>
      <c r="V12">
        <v>26876</v>
      </c>
      <c r="W12">
        <v>31468.91</v>
      </c>
      <c r="Y12" t="s">
        <v>108</v>
      </c>
      <c r="Z12">
        <v>26876</v>
      </c>
      <c r="AA12">
        <v>31468.91</v>
      </c>
      <c r="AC12" t="s">
        <v>247</v>
      </c>
      <c r="AD12">
        <v>0</v>
      </c>
      <c r="AE12">
        <v>225203</v>
      </c>
      <c r="AG12" t="s">
        <v>247</v>
      </c>
      <c r="AH12">
        <v>0</v>
      </c>
      <c r="AI12">
        <v>225203</v>
      </c>
      <c r="AK12" t="s">
        <v>248</v>
      </c>
      <c r="AL12">
        <v>0</v>
      </c>
      <c r="AM12">
        <v>975</v>
      </c>
      <c r="AO12" t="s">
        <v>248</v>
      </c>
      <c r="AP12">
        <v>0</v>
      </c>
      <c r="AQ12">
        <v>975</v>
      </c>
      <c r="AS12" t="s">
        <v>248</v>
      </c>
      <c r="AT12">
        <v>0</v>
      </c>
      <c r="AU12">
        <v>975</v>
      </c>
    </row>
    <row r="13" spans="1:47" x14ac:dyDescent="0.3">
      <c r="B13" t="s">
        <v>111</v>
      </c>
      <c r="C13" t="s">
        <v>247</v>
      </c>
      <c r="D13">
        <f t="shared" si="0"/>
        <v>135750</v>
      </c>
      <c r="E13">
        <f t="shared" si="1"/>
        <v>225203</v>
      </c>
      <c r="F13" s="102">
        <f>SUMIFS(D:D,C:C,G13)-H13</f>
        <v>0</v>
      </c>
      <c r="G13" t="s">
        <v>247</v>
      </c>
      <c r="H13">
        <v>135750</v>
      </c>
      <c r="I13">
        <v>225203</v>
      </c>
      <c r="J13" s="75">
        <f t="shared" si="2"/>
        <v>0</v>
      </c>
      <c r="L13" t="s">
        <v>247</v>
      </c>
      <c r="M13">
        <v>0</v>
      </c>
      <c r="N13">
        <v>225203</v>
      </c>
      <c r="P13" t="s">
        <v>247</v>
      </c>
      <c r="Q13">
        <v>253.78</v>
      </c>
      <c r="R13">
        <v>225203</v>
      </c>
      <c r="U13" t="s">
        <v>247</v>
      </c>
      <c r="V13">
        <v>0</v>
      </c>
      <c r="W13">
        <v>225203</v>
      </c>
      <c r="Y13" t="s">
        <v>247</v>
      </c>
      <c r="Z13">
        <v>0</v>
      </c>
      <c r="AA13">
        <v>225203</v>
      </c>
      <c r="AC13" t="s">
        <v>349</v>
      </c>
      <c r="AD13">
        <v>35669.5</v>
      </c>
      <c r="AE13">
        <v>256770.83</v>
      </c>
      <c r="AG13" t="s">
        <v>349</v>
      </c>
      <c r="AH13">
        <v>35408</v>
      </c>
      <c r="AI13">
        <v>256770.83</v>
      </c>
      <c r="AK13" t="s">
        <v>249</v>
      </c>
      <c r="AL13">
        <v>92.62</v>
      </c>
      <c r="AM13">
        <v>85.66</v>
      </c>
      <c r="AO13" t="s">
        <v>249</v>
      </c>
      <c r="AP13">
        <v>92.62</v>
      </c>
      <c r="AQ13">
        <v>85.66</v>
      </c>
      <c r="AS13" t="s">
        <v>249</v>
      </c>
      <c r="AT13">
        <v>92.62</v>
      </c>
      <c r="AU13">
        <v>85.66</v>
      </c>
    </row>
    <row r="14" spans="1:47" x14ac:dyDescent="0.3">
      <c r="A14" t="s">
        <v>9</v>
      </c>
      <c r="B14" t="s">
        <v>7</v>
      </c>
      <c r="C14" t="s">
        <v>248</v>
      </c>
      <c r="D14">
        <f t="shared" si="0"/>
        <v>2500</v>
      </c>
      <c r="E14">
        <f t="shared" si="1"/>
        <v>975</v>
      </c>
      <c r="F14" s="102">
        <f t="shared" si="3"/>
        <v>-645311.52</v>
      </c>
      <c r="G14" t="s">
        <v>349</v>
      </c>
      <c r="H14">
        <v>645311.52</v>
      </c>
      <c r="I14">
        <v>815999.65</v>
      </c>
      <c r="J14" s="75">
        <f t="shared" si="2"/>
        <v>-815999.65</v>
      </c>
      <c r="L14" t="s">
        <v>349</v>
      </c>
      <c r="M14">
        <v>479409.94</v>
      </c>
      <c r="N14">
        <v>769965.09</v>
      </c>
      <c r="P14" t="s">
        <v>349</v>
      </c>
      <c r="Q14">
        <v>431270.89</v>
      </c>
      <c r="R14">
        <v>740898.63</v>
      </c>
      <c r="U14" t="s">
        <v>349</v>
      </c>
      <c r="V14">
        <v>413418.01</v>
      </c>
      <c r="W14">
        <v>700636.36</v>
      </c>
      <c r="Y14" t="s">
        <v>349</v>
      </c>
      <c r="Z14">
        <v>413418.01</v>
      </c>
      <c r="AA14">
        <v>700636.36</v>
      </c>
      <c r="AC14" t="s">
        <v>248</v>
      </c>
      <c r="AD14">
        <v>0</v>
      </c>
      <c r="AE14">
        <v>975</v>
      </c>
      <c r="AG14" t="s">
        <v>248</v>
      </c>
      <c r="AH14">
        <v>0</v>
      </c>
      <c r="AI14">
        <v>975</v>
      </c>
      <c r="AK14" t="s">
        <v>250</v>
      </c>
      <c r="AL14">
        <v>0</v>
      </c>
      <c r="AM14">
        <v>1990.21</v>
      </c>
      <c r="AO14" t="s">
        <v>250</v>
      </c>
      <c r="AP14">
        <v>0</v>
      </c>
      <c r="AQ14">
        <v>1990.21</v>
      </c>
      <c r="AS14" t="s">
        <v>250</v>
      </c>
      <c r="AT14">
        <v>0</v>
      </c>
      <c r="AU14">
        <v>1990.21</v>
      </c>
    </row>
    <row r="15" spans="1:47" x14ac:dyDescent="0.3">
      <c r="A15" t="s">
        <v>9</v>
      </c>
      <c r="B15" t="s">
        <v>3</v>
      </c>
      <c r="C15" t="s">
        <v>249</v>
      </c>
      <c r="D15">
        <f t="shared" si="0"/>
        <v>1316.72</v>
      </c>
      <c r="E15">
        <f t="shared" si="1"/>
        <v>1288.8599999999999</v>
      </c>
      <c r="F15" s="102">
        <f t="shared" si="3"/>
        <v>0</v>
      </c>
      <c r="G15" t="s">
        <v>248</v>
      </c>
      <c r="H15">
        <v>2500</v>
      </c>
      <c r="I15">
        <v>975</v>
      </c>
      <c r="J15" s="75">
        <f t="shared" si="2"/>
        <v>0</v>
      </c>
      <c r="L15" t="s">
        <v>248</v>
      </c>
      <c r="M15">
        <v>2500</v>
      </c>
      <c r="N15">
        <v>975</v>
      </c>
      <c r="P15" t="s">
        <v>248</v>
      </c>
      <c r="Q15">
        <v>2500</v>
      </c>
      <c r="R15">
        <v>975</v>
      </c>
      <c r="U15" t="s">
        <v>248</v>
      </c>
      <c r="V15">
        <v>2500</v>
      </c>
      <c r="W15">
        <v>975</v>
      </c>
      <c r="Y15" t="s">
        <v>248</v>
      </c>
      <c r="Z15">
        <v>2500</v>
      </c>
      <c r="AA15">
        <v>975</v>
      </c>
      <c r="AC15" t="s">
        <v>249</v>
      </c>
      <c r="AD15">
        <v>145.86000000000001</v>
      </c>
      <c r="AE15">
        <v>150.09</v>
      </c>
      <c r="AG15" t="s">
        <v>249</v>
      </c>
      <c r="AH15">
        <v>145.86000000000001</v>
      </c>
      <c r="AI15">
        <v>150.09</v>
      </c>
      <c r="AK15" t="s">
        <v>251</v>
      </c>
      <c r="AL15">
        <v>3000</v>
      </c>
      <c r="AM15">
        <v>3600</v>
      </c>
      <c r="AO15" t="s">
        <v>251</v>
      </c>
      <c r="AP15">
        <v>3000</v>
      </c>
      <c r="AQ15">
        <v>3600</v>
      </c>
      <c r="AS15" t="s">
        <v>251</v>
      </c>
      <c r="AT15">
        <v>3000</v>
      </c>
      <c r="AU15">
        <v>3600</v>
      </c>
    </row>
    <row r="16" spans="1:47" x14ac:dyDescent="0.3">
      <c r="A16" t="s">
        <v>9</v>
      </c>
      <c r="B16" t="s">
        <v>6</v>
      </c>
      <c r="C16" t="s">
        <v>250</v>
      </c>
      <c r="D16">
        <f t="shared" si="0"/>
        <v>7735.33</v>
      </c>
      <c r="E16">
        <f t="shared" si="1"/>
        <v>13253.57</v>
      </c>
      <c r="F16" s="102">
        <f t="shared" si="3"/>
        <v>0</v>
      </c>
      <c r="G16" t="s">
        <v>249</v>
      </c>
      <c r="H16">
        <v>1316.72</v>
      </c>
      <c r="I16">
        <v>1288.8599999999999</v>
      </c>
      <c r="J16" s="75">
        <f t="shared" si="2"/>
        <v>0</v>
      </c>
      <c r="L16" t="s">
        <v>249</v>
      </c>
      <c r="M16">
        <v>1001.28</v>
      </c>
      <c r="N16">
        <v>978.06</v>
      </c>
      <c r="P16" t="s">
        <v>249</v>
      </c>
      <c r="Q16">
        <v>716.42</v>
      </c>
      <c r="R16">
        <v>697.39</v>
      </c>
      <c r="U16" t="s">
        <v>249</v>
      </c>
      <c r="V16">
        <v>401.1</v>
      </c>
      <c r="W16">
        <v>386.72</v>
      </c>
      <c r="Y16" t="s">
        <v>249</v>
      </c>
      <c r="Z16">
        <v>401.1</v>
      </c>
      <c r="AA16">
        <v>386.72</v>
      </c>
      <c r="AC16" t="s">
        <v>250</v>
      </c>
      <c r="AD16">
        <v>366.49</v>
      </c>
      <c r="AE16">
        <v>1960.21</v>
      </c>
      <c r="AG16" t="s">
        <v>250</v>
      </c>
      <c r="AH16">
        <v>366.49</v>
      </c>
      <c r="AI16">
        <v>1960.21</v>
      </c>
      <c r="AK16" t="s">
        <v>53</v>
      </c>
      <c r="AL16">
        <v>20911.009999999998</v>
      </c>
      <c r="AM16">
        <v>245009.64</v>
      </c>
      <c r="AO16" t="s">
        <v>53</v>
      </c>
      <c r="AP16">
        <v>20911.009999999998</v>
      </c>
      <c r="AQ16">
        <v>245009.64</v>
      </c>
      <c r="AS16" t="s">
        <v>53</v>
      </c>
      <c r="AT16">
        <v>20911.009999999998</v>
      </c>
      <c r="AU16">
        <v>245009.64</v>
      </c>
    </row>
    <row r="17" spans="1:47" x14ac:dyDescent="0.3">
      <c r="A17" t="s">
        <v>9</v>
      </c>
      <c r="B17" t="s">
        <v>5</v>
      </c>
      <c r="C17" t="s">
        <v>251</v>
      </c>
      <c r="D17">
        <f t="shared" si="0"/>
        <v>24000</v>
      </c>
      <c r="E17">
        <f t="shared" si="1"/>
        <v>41600</v>
      </c>
      <c r="F17" s="102">
        <f t="shared" si="3"/>
        <v>0</v>
      </c>
      <c r="G17" t="s">
        <v>250</v>
      </c>
      <c r="H17">
        <v>7735.33</v>
      </c>
      <c r="I17">
        <v>13253.57</v>
      </c>
      <c r="J17" s="75">
        <f t="shared" si="2"/>
        <v>0</v>
      </c>
      <c r="L17" t="s">
        <v>250</v>
      </c>
      <c r="M17">
        <v>7735.33</v>
      </c>
      <c r="N17">
        <v>11736.27</v>
      </c>
      <c r="P17" t="s">
        <v>250</v>
      </c>
      <c r="Q17">
        <v>7735.33</v>
      </c>
      <c r="R17">
        <v>8399.8700000000008</v>
      </c>
      <c r="U17" t="s">
        <v>250</v>
      </c>
      <c r="V17">
        <v>4413.47</v>
      </c>
      <c r="W17">
        <v>4056.71</v>
      </c>
      <c r="Y17" t="s">
        <v>250</v>
      </c>
      <c r="Z17">
        <v>4413.47</v>
      </c>
      <c r="AA17">
        <v>4056.71</v>
      </c>
      <c r="AC17" t="s">
        <v>251</v>
      </c>
      <c r="AD17">
        <v>3000</v>
      </c>
      <c r="AE17">
        <v>3600</v>
      </c>
      <c r="AG17" t="s">
        <v>251</v>
      </c>
      <c r="AH17">
        <v>3000</v>
      </c>
      <c r="AI17">
        <v>3600</v>
      </c>
      <c r="AK17" t="s">
        <v>350</v>
      </c>
      <c r="AL17">
        <v>20911.009999999998</v>
      </c>
      <c r="AM17">
        <v>245009.64</v>
      </c>
      <c r="AO17" t="s">
        <v>350</v>
      </c>
      <c r="AP17">
        <v>20911.009999999998</v>
      </c>
      <c r="AQ17">
        <v>245009.64</v>
      </c>
      <c r="AS17" t="s">
        <v>350</v>
      </c>
      <c r="AT17">
        <v>20911.009999999998</v>
      </c>
      <c r="AU17">
        <v>245009.64</v>
      </c>
    </row>
    <row r="18" spans="1:47" x14ac:dyDescent="0.3">
      <c r="A18" t="s">
        <v>9</v>
      </c>
      <c r="B18" t="s">
        <v>8</v>
      </c>
      <c r="C18" t="s">
        <v>252</v>
      </c>
      <c r="D18">
        <f t="shared" si="0"/>
        <v>0</v>
      </c>
      <c r="E18">
        <f t="shared" si="1"/>
        <v>0</v>
      </c>
      <c r="F18" s="102">
        <f t="shared" si="3"/>
        <v>0</v>
      </c>
      <c r="G18" t="s">
        <v>251</v>
      </c>
      <c r="H18">
        <v>24000</v>
      </c>
      <c r="I18">
        <v>41600</v>
      </c>
      <c r="J18" s="75">
        <f t="shared" si="2"/>
        <v>0</v>
      </c>
      <c r="L18" t="s">
        <v>251</v>
      </c>
      <c r="M18">
        <v>16000</v>
      </c>
      <c r="N18">
        <v>22600</v>
      </c>
      <c r="P18" t="s">
        <v>251</v>
      </c>
      <c r="Q18">
        <v>3000</v>
      </c>
      <c r="R18">
        <v>17600</v>
      </c>
      <c r="U18" t="s">
        <v>251</v>
      </c>
      <c r="V18">
        <v>3000</v>
      </c>
      <c r="W18">
        <v>5600</v>
      </c>
      <c r="Y18" t="s">
        <v>251</v>
      </c>
      <c r="Z18">
        <v>3000</v>
      </c>
      <c r="AA18">
        <v>5600</v>
      </c>
      <c r="AC18" t="s">
        <v>53</v>
      </c>
      <c r="AD18">
        <v>345990.87</v>
      </c>
      <c r="AE18">
        <v>513351.09</v>
      </c>
      <c r="AG18" t="s">
        <v>53</v>
      </c>
      <c r="AH18">
        <v>345729.37</v>
      </c>
      <c r="AI18">
        <v>513351.09</v>
      </c>
      <c r="AK18" t="s">
        <v>351</v>
      </c>
      <c r="AL18">
        <v>20911.009999999998</v>
      </c>
      <c r="AM18">
        <v>245009.64</v>
      </c>
      <c r="AO18" t="s">
        <v>351</v>
      </c>
      <c r="AP18">
        <v>20911.009999999998</v>
      </c>
      <c r="AQ18">
        <v>245009.64</v>
      </c>
      <c r="AS18" t="s">
        <v>351</v>
      </c>
      <c r="AT18">
        <v>20911.009999999998</v>
      </c>
      <c r="AU18">
        <v>245009.64</v>
      </c>
    </row>
    <row r="19" spans="1:47" x14ac:dyDescent="0.3">
      <c r="A19" t="s">
        <v>253</v>
      </c>
      <c r="B19" t="s">
        <v>47</v>
      </c>
      <c r="C19" t="s">
        <v>254</v>
      </c>
      <c r="D19">
        <f t="shared" si="0"/>
        <v>517.22</v>
      </c>
      <c r="E19">
        <f t="shared" si="1"/>
        <v>730.9</v>
      </c>
      <c r="F19" s="102">
        <f t="shared" si="3"/>
        <v>-2354286.21</v>
      </c>
      <c r="G19" t="s">
        <v>53</v>
      </c>
      <c r="H19">
        <v>2354286.21</v>
      </c>
      <c r="I19">
        <v>2467427.1</v>
      </c>
      <c r="J19" s="75">
        <f t="shared" si="2"/>
        <v>-2467427.1</v>
      </c>
      <c r="L19" t="s">
        <v>53</v>
      </c>
      <c r="M19">
        <v>2139213.7999999998</v>
      </c>
      <c r="N19">
        <v>2357852.87</v>
      </c>
      <c r="P19" t="s">
        <v>53</v>
      </c>
      <c r="Q19">
        <v>2003017.87</v>
      </c>
      <c r="R19">
        <v>2242830.33</v>
      </c>
      <c r="U19" t="s">
        <v>53</v>
      </c>
      <c r="V19">
        <v>1907595.31</v>
      </c>
      <c r="W19">
        <v>2032359.39</v>
      </c>
      <c r="Y19" t="s">
        <v>53</v>
      </c>
      <c r="Z19">
        <v>1907595.31</v>
      </c>
      <c r="AA19">
        <v>2032359.39</v>
      </c>
      <c r="AC19" t="s">
        <v>350</v>
      </c>
      <c r="AD19">
        <v>345990.87</v>
      </c>
      <c r="AE19">
        <v>513351.09</v>
      </c>
      <c r="AG19" t="s">
        <v>350</v>
      </c>
      <c r="AH19">
        <v>345729.37</v>
      </c>
      <c r="AI19">
        <v>513351.09</v>
      </c>
      <c r="AK19" t="s">
        <v>342</v>
      </c>
      <c r="AO19" t="s">
        <v>342</v>
      </c>
      <c r="AS19" t="s">
        <v>342</v>
      </c>
    </row>
    <row r="20" spans="1:47" x14ac:dyDescent="0.3">
      <c r="A20" t="s">
        <v>253</v>
      </c>
      <c r="B20" t="s">
        <v>45</v>
      </c>
      <c r="C20" t="s">
        <v>255</v>
      </c>
      <c r="D20">
        <f t="shared" si="0"/>
        <v>1500</v>
      </c>
      <c r="E20">
        <f t="shared" si="1"/>
        <v>1500</v>
      </c>
      <c r="F20" s="102">
        <f t="shared" si="3"/>
        <v>-2354286.21</v>
      </c>
      <c r="G20" t="s">
        <v>350</v>
      </c>
      <c r="H20">
        <v>2354286.21</v>
      </c>
      <c r="I20">
        <v>2467427.1</v>
      </c>
      <c r="J20" s="75">
        <f t="shared" si="2"/>
        <v>-2467427.1</v>
      </c>
      <c r="L20" t="s">
        <v>350</v>
      </c>
      <c r="M20">
        <v>2139213.7999999998</v>
      </c>
      <c r="N20">
        <v>2357852.87</v>
      </c>
      <c r="P20" t="s">
        <v>350</v>
      </c>
      <c r="Q20">
        <v>2003017.87</v>
      </c>
      <c r="R20">
        <v>2242830.33</v>
      </c>
      <c r="U20" t="s">
        <v>350</v>
      </c>
      <c r="V20">
        <v>1907595.31</v>
      </c>
      <c r="W20">
        <v>2032359.39</v>
      </c>
      <c r="Y20" t="s">
        <v>350</v>
      </c>
      <c r="Z20">
        <v>1907595.31</v>
      </c>
      <c r="AA20">
        <v>2032359.39</v>
      </c>
      <c r="AC20" t="s">
        <v>351</v>
      </c>
      <c r="AD20">
        <v>345990.87</v>
      </c>
      <c r="AE20">
        <v>513351.09</v>
      </c>
      <c r="AG20" t="s">
        <v>351</v>
      </c>
      <c r="AH20">
        <v>345729.37</v>
      </c>
      <c r="AI20">
        <v>513351.09</v>
      </c>
      <c r="AK20" t="s">
        <v>352</v>
      </c>
      <c r="AO20" t="s">
        <v>352</v>
      </c>
      <c r="AS20" t="s">
        <v>352</v>
      </c>
    </row>
    <row r="21" spans="1:47" x14ac:dyDescent="0.3">
      <c r="A21" t="s">
        <v>253</v>
      </c>
      <c r="B21" t="s">
        <v>237</v>
      </c>
      <c r="C21" t="s">
        <v>256</v>
      </c>
      <c r="D21">
        <f t="shared" si="0"/>
        <v>0</v>
      </c>
      <c r="E21">
        <f t="shared" si="1"/>
        <v>0</v>
      </c>
      <c r="F21" s="102">
        <f t="shared" si="3"/>
        <v>-2354286.21</v>
      </c>
      <c r="G21" t="s">
        <v>351</v>
      </c>
      <c r="H21">
        <v>2354286.21</v>
      </c>
      <c r="I21">
        <v>2467427.1</v>
      </c>
      <c r="J21" s="75">
        <f t="shared" si="2"/>
        <v>-2467427.1</v>
      </c>
      <c r="L21" t="s">
        <v>351</v>
      </c>
      <c r="M21">
        <v>2139213.7999999998</v>
      </c>
      <c r="N21">
        <v>2357852.87</v>
      </c>
      <c r="P21" t="s">
        <v>351</v>
      </c>
      <c r="Q21">
        <v>2003017.87</v>
      </c>
      <c r="R21">
        <v>2242830.33</v>
      </c>
      <c r="U21" t="s">
        <v>351</v>
      </c>
      <c r="V21">
        <v>1907595.31</v>
      </c>
      <c r="W21">
        <v>2032359.39</v>
      </c>
      <c r="Y21" t="s">
        <v>351</v>
      </c>
      <c r="Z21">
        <v>1907595.31</v>
      </c>
      <c r="AA21">
        <v>2032359.39</v>
      </c>
      <c r="AC21" t="s">
        <v>342</v>
      </c>
      <c r="AG21" t="s">
        <v>342</v>
      </c>
      <c r="AK21" t="s">
        <v>353</v>
      </c>
      <c r="AO21" t="s">
        <v>353</v>
      </c>
      <c r="AS21" t="s">
        <v>353</v>
      </c>
    </row>
    <row r="22" spans="1:47" x14ac:dyDescent="0.3">
      <c r="A22" t="s">
        <v>253</v>
      </c>
      <c r="B22" t="s">
        <v>49</v>
      </c>
      <c r="C22" t="s">
        <v>257</v>
      </c>
      <c r="D22">
        <f t="shared" si="0"/>
        <v>40574.58</v>
      </c>
      <c r="E22">
        <f t="shared" si="1"/>
        <v>39392.82</v>
      </c>
      <c r="F22" s="102">
        <f t="shared" si="3"/>
        <v>0</v>
      </c>
      <c r="G22" t="s">
        <v>342</v>
      </c>
      <c r="J22" s="75">
        <f t="shared" si="2"/>
        <v>0</v>
      </c>
      <c r="L22" t="s">
        <v>342</v>
      </c>
      <c r="P22" t="s">
        <v>342</v>
      </c>
      <c r="U22" t="s">
        <v>342</v>
      </c>
      <c r="Y22" t="s">
        <v>342</v>
      </c>
      <c r="AC22" t="s">
        <v>352</v>
      </c>
      <c r="AG22" t="s">
        <v>352</v>
      </c>
      <c r="AK22" t="s">
        <v>354</v>
      </c>
      <c r="AO22" t="s">
        <v>354</v>
      </c>
      <c r="AS22" t="s">
        <v>354</v>
      </c>
    </row>
    <row r="23" spans="1:47" x14ac:dyDescent="0.3">
      <c r="A23" t="s">
        <v>253</v>
      </c>
      <c r="B23" t="s">
        <v>47</v>
      </c>
      <c r="C23" t="s">
        <v>258</v>
      </c>
      <c r="D23">
        <f t="shared" si="0"/>
        <v>7236.85</v>
      </c>
      <c r="E23">
        <f t="shared" si="1"/>
        <v>13599.93</v>
      </c>
      <c r="F23" s="102">
        <f t="shared" si="3"/>
        <v>0</v>
      </c>
      <c r="G23" t="s">
        <v>352</v>
      </c>
      <c r="J23" s="75">
        <f t="shared" si="2"/>
        <v>0</v>
      </c>
      <c r="L23" t="s">
        <v>352</v>
      </c>
      <c r="P23" t="s">
        <v>352</v>
      </c>
      <c r="U23" t="s">
        <v>352</v>
      </c>
      <c r="Y23" t="s">
        <v>352</v>
      </c>
      <c r="AC23" t="s">
        <v>353</v>
      </c>
      <c r="AG23" t="s">
        <v>353</v>
      </c>
      <c r="AK23" t="s">
        <v>254</v>
      </c>
      <c r="AL23">
        <v>85</v>
      </c>
      <c r="AM23">
        <v>60</v>
      </c>
      <c r="AO23" t="s">
        <v>254</v>
      </c>
      <c r="AP23">
        <v>85</v>
      </c>
      <c r="AQ23">
        <v>60</v>
      </c>
      <c r="AS23" t="s">
        <v>254</v>
      </c>
      <c r="AT23">
        <v>85</v>
      </c>
      <c r="AU23">
        <v>60</v>
      </c>
    </row>
    <row r="24" spans="1:47" x14ac:dyDescent="0.3">
      <c r="A24" t="s">
        <v>253</v>
      </c>
      <c r="B24" t="s">
        <v>47</v>
      </c>
      <c r="C24" t="s">
        <v>259</v>
      </c>
      <c r="D24">
        <f t="shared" si="0"/>
        <v>7889.26</v>
      </c>
      <c r="E24">
        <f t="shared" si="1"/>
        <v>9365.31</v>
      </c>
      <c r="F24" s="102">
        <f t="shared" si="3"/>
        <v>0</v>
      </c>
      <c r="G24" t="s">
        <v>353</v>
      </c>
      <c r="J24" s="75">
        <f t="shared" si="2"/>
        <v>0</v>
      </c>
      <c r="L24" t="s">
        <v>353</v>
      </c>
      <c r="P24" t="s">
        <v>353</v>
      </c>
      <c r="U24" t="s">
        <v>353</v>
      </c>
      <c r="Y24" t="s">
        <v>353</v>
      </c>
      <c r="AC24" t="s">
        <v>354</v>
      </c>
      <c r="AG24" t="s">
        <v>354</v>
      </c>
      <c r="AK24" t="s">
        <v>255</v>
      </c>
      <c r="AL24">
        <v>250</v>
      </c>
      <c r="AM24">
        <v>250</v>
      </c>
      <c r="AO24" t="s">
        <v>255</v>
      </c>
      <c r="AP24">
        <v>250</v>
      </c>
      <c r="AQ24">
        <v>250</v>
      </c>
      <c r="AS24" t="s">
        <v>255</v>
      </c>
      <c r="AT24">
        <v>250</v>
      </c>
      <c r="AU24">
        <v>250</v>
      </c>
    </row>
    <row r="25" spans="1:47" x14ac:dyDescent="0.3">
      <c r="A25" t="s">
        <v>253</v>
      </c>
      <c r="B25" t="s">
        <v>48</v>
      </c>
      <c r="C25" t="s">
        <v>260</v>
      </c>
      <c r="D25">
        <f t="shared" si="0"/>
        <v>174.97</v>
      </c>
      <c r="E25">
        <f t="shared" si="1"/>
        <v>383.35</v>
      </c>
      <c r="F25" s="102">
        <f t="shared" si="3"/>
        <v>0</v>
      </c>
      <c r="G25" t="s">
        <v>354</v>
      </c>
      <c r="J25" s="75">
        <f t="shared" si="2"/>
        <v>0</v>
      </c>
      <c r="L25" t="s">
        <v>354</v>
      </c>
      <c r="P25" t="s">
        <v>354</v>
      </c>
      <c r="U25" t="s">
        <v>354</v>
      </c>
      <c r="Y25" t="s">
        <v>354</v>
      </c>
      <c r="AC25" t="s">
        <v>254</v>
      </c>
      <c r="AD25">
        <v>145</v>
      </c>
      <c r="AE25">
        <v>110</v>
      </c>
      <c r="AG25" t="s">
        <v>254</v>
      </c>
      <c r="AH25">
        <v>145</v>
      </c>
      <c r="AI25">
        <v>110</v>
      </c>
      <c r="AK25" t="s">
        <v>257</v>
      </c>
      <c r="AL25">
        <v>6762.43</v>
      </c>
      <c r="AM25">
        <v>6565.47</v>
      </c>
      <c r="AO25" t="s">
        <v>257</v>
      </c>
      <c r="AP25">
        <v>6762.43</v>
      </c>
      <c r="AQ25">
        <v>6565.47</v>
      </c>
      <c r="AS25" t="s">
        <v>257</v>
      </c>
      <c r="AT25">
        <v>6762.43</v>
      </c>
      <c r="AU25">
        <v>6565.47</v>
      </c>
    </row>
    <row r="26" spans="1:47" x14ac:dyDescent="0.3">
      <c r="A26" t="s">
        <v>253</v>
      </c>
      <c r="B26" t="s">
        <v>46</v>
      </c>
      <c r="C26" t="s">
        <v>261</v>
      </c>
      <c r="D26">
        <f t="shared" si="0"/>
        <v>3703.02</v>
      </c>
      <c r="E26">
        <f t="shared" si="1"/>
        <v>3486.67</v>
      </c>
      <c r="F26" s="102">
        <f t="shared" si="3"/>
        <v>0</v>
      </c>
      <c r="G26" t="s">
        <v>254</v>
      </c>
      <c r="H26">
        <v>517.22</v>
      </c>
      <c r="I26">
        <v>730.9</v>
      </c>
      <c r="J26" s="75">
        <f t="shared" si="2"/>
        <v>0</v>
      </c>
      <c r="L26" t="s">
        <v>254</v>
      </c>
      <c r="M26">
        <v>460.27</v>
      </c>
      <c r="N26">
        <v>598.41</v>
      </c>
      <c r="P26" t="s">
        <v>254</v>
      </c>
      <c r="Q26">
        <v>294.27</v>
      </c>
      <c r="R26">
        <v>298.14</v>
      </c>
      <c r="U26" t="s">
        <v>254</v>
      </c>
      <c r="V26">
        <v>216.71</v>
      </c>
      <c r="W26">
        <v>237.39</v>
      </c>
      <c r="Y26" t="s">
        <v>254</v>
      </c>
      <c r="Z26">
        <v>216.71</v>
      </c>
      <c r="AA26">
        <v>237.39</v>
      </c>
      <c r="AC26" t="s">
        <v>255</v>
      </c>
      <c r="AD26">
        <v>500</v>
      </c>
      <c r="AE26">
        <v>500</v>
      </c>
      <c r="AG26" t="s">
        <v>255</v>
      </c>
      <c r="AH26">
        <v>500</v>
      </c>
      <c r="AI26">
        <v>500</v>
      </c>
      <c r="AK26" t="s">
        <v>258</v>
      </c>
      <c r="AL26">
        <v>402.99</v>
      </c>
      <c r="AM26">
        <v>4794.99</v>
      </c>
      <c r="AO26" t="s">
        <v>258</v>
      </c>
      <c r="AP26">
        <v>402.99</v>
      </c>
      <c r="AQ26">
        <v>4794.99</v>
      </c>
      <c r="AS26" t="s">
        <v>258</v>
      </c>
      <c r="AT26">
        <v>402.99</v>
      </c>
      <c r="AU26">
        <v>4794.99</v>
      </c>
    </row>
    <row r="27" spans="1:47" x14ac:dyDescent="0.3">
      <c r="A27" t="s">
        <v>253</v>
      </c>
      <c r="B27" t="s">
        <v>30</v>
      </c>
      <c r="D27">
        <f t="shared" si="0"/>
        <v>0</v>
      </c>
      <c r="E27">
        <f t="shared" si="1"/>
        <v>0</v>
      </c>
      <c r="F27" s="102">
        <f t="shared" si="3"/>
        <v>0</v>
      </c>
      <c r="G27" t="s">
        <v>255</v>
      </c>
      <c r="H27">
        <v>1500</v>
      </c>
      <c r="I27">
        <v>1500</v>
      </c>
      <c r="J27" s="75">
        <f t="shared" si="2"/>
        <v>0</v>
      </c>
      <c r="L27" t="s">
        <v>255</v>
      </c>
      <c r="M27">
        <v>1250</v>
      </c>
      <c r="N27">
        <v>1250</v>
      </c>
      <c r="P27" t="s">
        <v>255</v>
      </c>
      <c r="Q27">
        <v>1000</v>
      </c>
      <c r="R27">
        <v>1000</v>
      </c>
      <c r="U27" t="s">
        <v>255</v>
      </c>
      <c r="V27">
        <v>750</v>
      </c>
      <c r="W27">
        <v>750</v>
      </c>
      <c r="Y27" t="s">
        <v>255</v>
      </c>
      <c r="Z27">
        <v>750</v>
      </c>
      <c r="AA27">
        <v>750</v>
      </c>
      <c r="AC27" t="s">
        <v>257</v>
      </c>
      <c r="AD27">
        <v>13524.86</v>
      </c>
      <c r="AE27">
        <v>13130.94</v>
      </c>
      <c r="AG27" t="s">
        <v>257</v>
      </c>
      <c r="AH27">
        <v>13524.86</v>
      </c>
      <c r="AI27">
        <v>13130.94</v>
      </c>
      <c r="AK27" t="s">
        <v>259</v>
      </c>
      <c r="AL27">
        <v>3502.22</v>
      </c>
      <c r="AM27">
        <v>672.03</v>
      </c>
      <c r="AO27" t="s">
        <v>259</v>
      </c>
      <c r="AP27">
        <v>3502.22</v>
      </c>
      <c r="AQ27">
        <v>672.03</v>
      </c>
      <c r="AS27" t="s">
        <v>259</v>
      </c>
      <c r="AT27">
        <v>3502.22</v>
      </c>
      <c r="AU27">
        <v>672.03</v>
      </c>
    </row>
    <row r="28" spans="1:47" x14ac:dyDescent="0.3">
      <c r="A28" t="s">
        <v>253</v>
      </c>
      <c r="B28" t="s">
        <v>234</v>
      </c>
      <c r="C28" t="s">
        <v>263</v>
      </c>
      <c r="D28">
        <f t="shared" si="0"/>
        <v>0</v>
      </c>
      <c r="E28">
        <f t="shared" si="1"/>
        <v>0</v>
      </c>
      <c r="F28" s="102">
        <f t="shared" si="3"/>
        <v>0</v>
      </c>
      <c r="G28" t="s">
        <v>257</v>
      </c>
      <c r="H28">
        <v>40574.58</v>
      </c>
      <c r="I28">
        <v>39392.82</v>
      </c>
      <c r="J28" s="75">
        <f t="shared" si="2"/>
        <v>0</v>
      </c>
      <c r="L28" t="s">
        <v>257</v>
      </c>
      <c r="M28">
        <v>33812.15</v>
      </c>
      <c r="N28">
        <v>32827.35</v>
      </c>
      <c r="P28" t="s">
        <v>257</v>
      </c>
      <c r="Q28">
        <v>27049.72</v>
      </c>
      <c r="R28">
        <v>26261.88</v>
      </c>
      <c r="U28" t="s">
        <v>257</v>
      </c>
      <c r="V28">
        <v>20287.29</v>
      </c>
      <c r="W28">
        <v>19696.41</v>
      </c>
      <c r="Y28" t="s">
        <v>257</v>
      </c>
      <c r="Z28">
        <v>20287.29</v>
      </c>
      <c r="AA28">
        <v>19696.41</v>
      </c>
      <c r="AC28" t="s">
        <v>258</v>
      </c>
      <c r="AD28">
        <v>609.98</v>
      </c>
      <c r="AE28">
        <v>6811.97</v>
      </c>
      <c r="AG28" t="s">
        <v>258</v>
      </c>
      <c r="AH28">
        <v>609.98</v>
      </c>
      <c r="AI28">
        <v>6811.97</v>
      </c>
      <c r="AK28" t="s">
        <v>260</v>
      </c>
      <c r="AL28">
        <v>0</v>
      </c>
      <c r="AM28">
        <v>119.88</v>
      </c>
      <c r="AO28" t="s">
        <v>260</v>
      </c>
      <c r="AP28">
        <v>0</v>
      </c>
      <c r="AQ28">
        <v>119.88</v>
      </c>
      <c r="AS28" t="s">
        <v>260</v>
      </c>
      <c r="AT28">
        <v>0</v>
      </c>
      <c r="AU28">
        <v>119.88</v>
      </c>
    </row>
    <row r="29" spans="1:47" x14ac:dyDescent="0.3">
      <c r="A29" t="s">
        <v>245</v>
      </c>
      <c r="B29" t="s">
        <v>116</v>
      </c>
      <c r="C29" t="s">
        <v>264</v>
      </c>
      <c r="D29">
        <f t="shared" si="0"/>
        <v>42219.24</v>
      </c>
      <c r="E29">
        <f t="shared" si="1"/>
        <v>38800</v>
      </c>
      <c r="F29" s="102">
        <f t="shared" si="3"/>
        <v>0</v>
      </c>
      <c r="G29" t="s">
        <v>258</v>
      </c>
      <c r="H29">
        <v>7236.85</v>
      </c>
      <c r="I29">
        <v>13599.93</v>
      </c>
      <c r="J29" s="75">
        <f t="shared" si="2"/>
        <v>0</v>
      </c>
      <c r="L29" t="s">
        <v>258</v>
      </c>
      <c r="M29">
        <v>5596.89</v>
      </c>
      <c r="N29">
        <v>11852.94</v>
      </c>
      <c r="P29" t="s">
        <v>258</v>
      </c>
      <c r="Q29">
        <v>3884.92</v>
      </c>
      <c r="R29">
        <v>10745.95</v>
      </c>
      <c r="U29" t="s">
        <v>258</v>
      </c>
      <c r="V29">
        <v>2252.9499999999998</v>
      </c>
      <c r="W29">
        <v>8918.9599999999991</v>
      </c>
      <c r="Y29" t="s">
        <v>258</v>
      </c>
      <c r="Z29">
        <v>2252.9499999999998</v>
      </c>
      <c r="AA29">
        <v>8918.9599999999991</v>
      </c>
      <c r="AC29" t="s">
        <v>259</v>
      </c>
      <c r="AD29">
        <v>3922.85</v>
      </c>
      <c r="AE29">
        <v>2501.4899999999998</v>
      </c>
      <c r="AG29" t="s">
        <v>259</v>
      </c>
      <c r="AH29">
        <v>3922.85</v>
      </c>
      <c r="AI29">
        <v>2501.4899999999998</v>
      </c>
      <c r="AK29" t="s">
        <v>261</v>
      </c>
      <c r="AL29">
        <v>524.47</v>
      </c>
      <c r="AM29">
        <v>233.44</v>
      </c>
      <c r="AO29" t="s">
        <v>261</v>
      </c>
      <c r="AP29">
        <v>524.47</v>
      </c>
      <c r="AQ29">
        <v>233.44</v>
      </c>
      <c r="AS29" t="s">
        <v>261</v>
      </c>
      <c r="AT29">
        <v>524.47</v>
      </c>
      <c r="AU29">
        <v>233.44</v>
      </c>
    </row>
    <row r="30" spans="1:47" x14ac:dyDescent="0.3">
      <c r="A30" t="s">
        <v>253</v>
      </c>
      <c r="B30" t="s">
        <v>30</v>
      </c>
      <c r="C30" t="s">
        <v>265</v>
      </c>
      <c r="D30">
        <f t="shared" si="0"/>
        <v>223503.6</v>
      </c>
      <c r="E30">
        <f t="shared" si="1"/>
        <v>227849.48</v>
      </c>
      <c r="F30" s="102">
        <f t="shared" si="3"/>
        <v>0</v>
      </c>
      <c r="G30" t="s">
        <v>259</v>
      </c>
      <c r="H30">
        <v>7889.26</v>
      </c>
      <c r="I30">
        <v>9365.31</v>
      </c>
      <c r="J30" s="75">
        <f t="shared" si="2"/>
        <v>0</v>
      </c>
      <c r="L30" t="s">
        <v>259</v>
      </c>
      <c r="M30">
        <v>7627.41</v>
      </c>
      <c r="N30">
        <v>4995.33</v>
      </c>
      <c r="P30" t="s">
        <v>259</v>
      </c>
      <c r="Q30">
        <v>4921.42</v>
      </c>
      <c r="R30">
        <v>4198.2700000000004</v>
      </c>
      <c r="U30" t="s">
        <v>259</v>
      </c>
      <c r="V30">
        <v>4195.16</v>
      </c>
      <c r="W30">
        <v>3587.88</v>
      </c>
      <c r="Y30" t="s">
        <v>259</v>
      </c>
      <c r="Z30">
        <v>4195.16</v>
      </c>
      <c r="AA30">
        <v>3587.88</v>
      </c>
      <c r="AC30" t="s">
        <v>260</v>
      </c>
      <c r="AD30">
        <v>75.790000000000006</v>
      </c>
      <c r="AE30">
        <v>148.88</v>
      </c>
      <c r="AG30" t="s">
        <v>260</v>
      </c>
      <c r="AH30">
        <v>75.790000000000006</v>
      </c>
      <c r="AI30">
        <v>148.88</v>
      </c>
      <c r="AK30" t="s">
        <v>355</v>
      </c>
      <c r="AL30">
        <v>11527.11</v>
      </c>
      <c r="AM30">
        <v>12695.81</v>
      </c>
      <c r="AO30" t="s">
        <v>355</v>
      </c>
      <c r="AP30">
        <v>11527.11</v>
      </c>
      <c r="AQ30">
        <v>12695.81</v>
      </c>
      <c r="AS30" t="s">
        <v>355</v>
      </c>
      <c r="AT30">
        <v>11527.11</v>
      </c>
      <c r="AU30">
        <v>12695.81</v>
      </c>
    </row>
    <row r="31" spans="1:47" x14ac:dyDescent="0.3">
      <c r="A31" t="s">
        <v>245</v>
      </c>
      <c r="B31" t="s">
        <v>115</v>
      </c>
      <c r="C31" t="s">
        <v>519</v>
      </c>
      <c r="D31">
        <f t="shared" si="0"/>
        <v>26316.73</v>
      </c>
      <c r="E31">
        <f t="shared" si="1"/>
        <v>13935.84</v>
      </c>
      <c r="F31" s="102">
        <f t="shared" si="3"/>
        <v>0</v>
      </c>
      <c r="G31" t="s">
        <v>260</v>
      </c>
      <c r="H31">
        <v>174.97</v>
      </c>
      <c r="I31">
        <v>383.35</v>
      </c>
      <c r="J31" s="75">
        <f t="shared" si="2"/>
        <v>0</v>
      </c>
      <c r="L31" t="s">
        <v>260</v>
      </c>
      <c r="M31">
        <v>174.97</v>
      </c>
      <c r="N31">
        <v>310.39999999999998</v>
      </c>
      <c r="P31" t="s">
        <v>260</v>
      </c>
      <c r="Q31">
        <v>174.97</v>
      </c>
      <c r="R31">
        <v>223</v>
      </c>
      <c r="U31" t="s">
        <v>260</v>
      </c>
      <c r="V31">
        <v>174.97</v>
      </c>
      <c r="W31">
        <v>207.41</v>
      </c>
      <c r="Y31" t="s">
        <v>260</v>
      </c>
      <c r="Z31">
        <v>174.97</v>
      </c>
      <c r="AA31">
        <v>207.41</v>
      </c>
      <c r="AC31" t="s">
        <v>261</v>
      </c>
      <c r="AD31">
        <v>786.04</v>
      </c>
      <c r="AE31">
        <v>866.71</v>
      </c>
      <c r="AG31" t="s">
        <v>261</v>
      </c>
      <c r="AH31">
        <v>786.04</v>
      </c>
      <c r="AI31">
        <v>866.71</v>
      </c>
      <c r="AK31" t="s">
        <v>205</v>
      </c>
      <c r="AO31" t="s">
        <v>205</v>
      </c>
      <c r="AS31" t="s">
        <v>205</v>
      </c>
    </row>
    <row r="32" spans="1:47" x14ac:dyDescent="0.3">
      <c r="B32" t="s">
        <v>266</v>
      </c>
      <c r="D32">
        <f t="shared" si="0"/>
        <v>0</v>
      </c>
      <c r="E32">
        <f t="shared" si="1"/>
        <v>0</v>
      </c>
      <c r="F32" s="102">
        <f t="shared" si="3"/>
        <v>0</v>
      </c>
      <c r="G32" t="s">
        <v>261</v>
      </c>
      <c r="H32">
        <v>3703.02</v>
      </c>
      <c r="I32">
        <v>3486.67</v>
      </c>
      <c r="J32" s="75">
        <f t="shared" si="2"/>
        <v>0</v>
      </c>
      <c r="L32" t="s">
        <v>261</v>
      </c>
      <c r="M32">
        <v>2964.97</v>
      </c>
      <c r="N32">
        <v>2781.44</v>
      </c>
      <c r="P32" t="s">
        <v>261</v>
      </c>
      <c r="Q32">
        <v>2226.92</v>
      </c>
      <c r="R32">
        <v>2140.71</v>
      </c>
      <c r="U32" t="s">
        <v>261</v>
      </c>
      <c r="V32">
        <v>1498.72</v>
      </c>
      <c r="W32">
        <v>1499.98</v>
      </c>
      <c r="Y32" t="s">
        <v>261</v>
      </c>
      <c r="Z32">
        <v>1498.72</v>
      </c>
      <c r="AA32">
        <v>1499.98</v>
      </c>
      <c r="AC32" t="s">
        <v>355</v>
      </c>
      <c r="AD32">
        <v>19564.52</v>
      </c>
      <c r="AE32">
        <v>24069.99</v>
      </c>
      <c r="AG32" t="s">
        <v>355</v>
      </c>
      <c r="AH32">
        <v>19564.52</v>
      </c>
      <c r="AI32">
        <v>24069.99</v>
      </c>
      <c r="AK32" t="s">
        <v>356</v>
      </c>
      <c r="AO32" t="s">
        <v>356</v>
      </c>
      <c r="AS32" t="s">
        <v>356</v>
      </c>
    </row>
    <row r="33" spans="1:47" x14ac:dyDescent="0.3">
      <c r="A33" t="s">
        <v>253</v>
      </c>
      <c r="B33" t="s">
        <v>234</v>
      </c>
      <c r="C33" t="s">
        <v>267</v>
      </c>
      <c r="D33">
        <f t="shared" si="0"/>
        <v>0</v>
      </c>
      <c r="E33">
        <f t="shared" si="1"/>
        <v>0</v>
      </c>
      <c r="F33" s="102">
        <f t="shared" si="3"/>
        <v>-61595.9</v>
      </c>
      <c r="G33" t="s">
        <v>355</v>
      </c>
      <c r="H33">
        <v>61595.9</v>
      </c>
      <c r="I33">
        <v>68458.98</v>
      </c>
      <c r="J33" s="75">
        <f t="shared" si="2"/>
        <v>-68458.98</v>
      </c>
      <c r="L33" t="s">
        <v>355</v>
      </c>
      <c r="M33">
        <v>51886.66</v>
      </c>
      <c r="N33">
        <v>54615.87</v>
      </c>
      <c r="P33" t="s">
        <v>355</v>
      </c>
      <c r="Q33">
        <v>39552.22</v>
      </c>
      <c r="R33">
        <v>44867.95</v>
      </c>
      <c r="U33" t="s">
        <v>355</v>
      </c>
      <c r="V33">
        <v>29375.8</v>
      </c>
      <c r="W33">
        <v>34898.03</v>
      </c>
      <c r="Y33" t="s">
        <v>355</v>
      </c>
      <c r="Z33">
        <v>29375.8</v>
      </c>
      <c r="AA33">
        <v>34898.03</v>
      </c>
      <c r="AC33" t="s">
        <v>205</v>
      </c>
      <c r="AG33" t="s">
        <v>205</v>
      </c>
      <c r="AK33" t="s">
        <v>263</v>
      </c>
      <c r="AL33">
        <v>0</v>
      </c>
      <c r="AM33">
        <v>3020.64</v>
      </c>
      <c r="AO33" t="s">
        <v>263</v>
      </c>
      <c r="AP33">
        <v>0</v>
      </c>
      <c r="AQ33">
        <v>3020.64</v>
      </c>
      <c r="AS33" t="s">
        <v>263</v>
      </c>
      <c r="AT33">
        <v>0</v>
      </c>
      <c r="AU33">
        <v>3020.64</v>
      </c>
    </row>
    <row r="34" spans="1:47" x14ac:dyDescent="0.3">
      <c r="A34" t="s">
        <v>245</v>
      </c>
      <c r="B34" t="s">
        <v>116</v>
      </c>
      <c r="C34" t="s">
        <v>268</v>
      </c>
      <c r="D34">
        <f t="shared" si="0"/>
        <v>3260.51</v>
      </c>
      <c r="E34">
        <f t="shared" si="1"/>
        <v>2975.3</v>
      </c>
      <c r="F34" s="102">
        <f t="shared" si="3"/>
        <v>0</v>
      </c>
      <c r="G34" t="s">
        <v>205</v>
      </c>
      <c r="J34" s="75">
        <f t="shared" si="2"/>
        <v>0</v>
      </c>
      <c r="L34" t="s">
        <v>205</v>
      </c>
      <c r="P34" t="s">
        <v>205</v>
      </c>
      <c r="U34" t="s">
        <v>205</v>
      </c>
      <c r="Y34" t="s">
        <v>205</v>
      </c>
      <c r="AC34" t="s">
        <v>356</v>
      </c>
      <c r="AG34" t="s">
        <v>356</v>
      </c>
      <c r="AK34" t="s">
        <v>264</v>
      </c>
      <c r="AL34">
        <v>7036.54</v>
      </c>
      <c r="AM34">
        <v>6175</v>
      </c>
      <c r="AO34" t="s">
        <v>264</v>
      </c>
      <c r="AP34">
        <v>7036.54</v>
      </c>
      <c r="AQ34">
        <v>6175</v>
      </c>
      <c r="AS34" t="s">
        <v>264</v>
      </c>
      <c r="AT34">
        <v>7036.54</v>
      </c>
      <c r="AU34">
        <v>6175</v>
      </c>
    </row>
    <row r="35" spans="1:47" x14ac:dyDescent="0.3">
      <c r="A35" t="s">
        <v>253</v>
      </c>
      <c r="B35" t="s">
        <v>266</v>
      </c>
      <c r="C35" t="s">
        <v>269</v>
      </c>
      <c r="D35">
        <f t="shared" si="0"/>
        <v>17392.32</v>
      </c>
      <c r="E35">
        <f t="shared" si="1"/>
        <v>17934.939999999999</v>
      </c>
      <c r="F35" s="102">
        <f t="shared" si="3"/>
        <v>0</v>
      </c>
      <c r="G35" t="s">
        <v>356</v>
      </c>
      <c r="J35" s="75">
        <f t="shared" si="2"/>
        <v>0</v>
      </c>
      <c r="L35" t="s">
        <v>356</v>
      </c>
      <c r="P35" t="s">
        <v>356</v>
      </c>
      <c r="U35" t="s">
        <v>356</v>
      </c>
      <c r="Y35" t="s">
        <v>356</v>
      </c>
      <c r="AC35" t="s">
        <v>263</v>
      </c>
      <c r="AD35">
        <v>0</v>
      </c>
      <c r="AE35">
        <v>0</v>
      </c>
      <c r="AG35" t="s">
        <v>263</v>
      </c>
      <c r="AH35">
        <v>0</v>
      </c>
      <c r="AI35">
        <v>0</v>
      </c>
      <c r="AK35" t="s">
        <v>519</v>
      </c>
      <c r="AL35">
        <v>4716.68</v>
      </c>
      <c r="AM35">
        <v>0</v>
      </c>
      <c r="AO35" t="s">
        <v>519</v>
      </c>
      <c r="AP35">
        <v>4716.68</v>
      </c>
      <c r="AQ35">
        <v>0</v>
      </c>
      <c r="AS35" t="s">
        <v>519</v>
      </c>
      <c r="AT35">
        <v>4716.68</v>
      </c>
      <c r="AU35">
        <v>0</v>
      </c>
    </row>
    <row r="36" spans="1:47" x14ac:dyDescent="0.3">
      <c r="A36" t="s">
        <v>245</v>
      </c>
      <c r="B36" t="s">
        <v>116</v>
      </c>
      <c r="C36" t="s">
        <v>520</v>
      </c>
      <c r="D36">
        <f t="shared" si="0"/>
        <v>2044.11</v>
      </c>
      <c r="E36">
        <f t="shared" si="1"/>
        <v>1089.52</v>
      </c>
      <c r="F36" s="102">
        <f t="shared" si="3"/>
        <v>0</v>
      </c>
      <c r="G36" t="s">
        <v>263</v>
      </c>
      <c r="H36">
        <v>0</v>
      </c>
      <c r="I36">
        <v>0</v>
      </c>
      <c r="J36" s="75">
        <f t="shared" ref="J36:J67" si="4">SUMIFS(E:E,C:C,G36)-I36</f>
        <v>0</v>
      </c>
      <c r="L36" t="s">
        <v>263</v>
      </c>
      <c r="M36">
        <v>0</v>
      </c>
      <c r="N36">
        <v>0</v>
      </c>
      <c r="P36" t="s">
        <v>263</v>
      </c>
      <c r="Q36">
        <v>0</v>
      </c>
      <c r="R36">
        <v>0</v>
      </c>
      <c r="U36" t="s">
        <v>263</v>
      </c>
      <c r="V36">
        <v>0</v>
      </c>
      <c r="W36">
        <v>0</v>
      </c>
      <c r="Y36" t="s">
        <v>263</v>
      </c>
      <c r="Z36">
        <v>0</v>
      </c>
      <c r="AA36">
        <v>0</v>
      </c>
      <c r="AC36" t="s">
        <v>264</v>
      </c>
      <c r="AD36">
        <v>14073.08</v>
      </c>
      <c r="AE36">
        <v>12700</v>
      </c>
      <c r="AG36" t="s">
        <v>264</v>
      </c>
      <c r="AH36">
        <v>14073.08</v>
      </c>
      <c r="AI36">
        <v>12700</v>
      </c>
      <c r="AK36" t="s">
        <v>265</v>
      </c>
      <c r="AL36">
        <v>38222.639999999999</v>
      </c>
      <c r="AM36">
        <v>31815.62</v>
      </c>
      <c r="AO36" t="s">
        <v>265</v>
      </c>
      <c r="AP36">
        <v>38222.639999999999</v>
      </c>
      <c r="AQ36">
        <v>31815.62</v>
      </c>
      <c r="AS36" t="s">
        <v>265</v>
      </c>
      <c r="AT36">
        <v>38222.639999999999</v>
      </c>
      <c r="AU36">
        <v>31815.62</v>
      </c>
    </row>
    <row r="37" spans="1:47" x14ac:dyDescent="0.3">
      <c r="A37" t="s">
        <v>245</v>
      </c>
      <c r="B37" t="s">
        <v>116</v>
      </c>
      <c r="C37" t="s">
        <v>270</v>
      </c>
      <c r="D37">
        <f t="shared" si="0"/>
        <v>4683.24</v>
      </c>
      <c r="E37">
        <f t="shared" si="1"/>
        <v>4374.96</v>
      </c>
      <c r="F37" s="102">
        <f t="shared" ref="F37:F68" si="5">SUMIFS(D:D,C:C,G37)-H37</f>
        <v>0</v>
      </c>
      <c r="G37" t="s">
        <v>264</v>
      </c>
      <c r="H37">
        <v>42219.24</v>
      </c>
      <c r="I37">
        <v>38800</v>
      </c>
      <c r="J37" s="75">
        <f t="shared" si="4"/>
        <v>0</v>
      </c>
      <c r="L37" t="s">
        <v>264</v>
      </c>
      <c r="M37">
        <v>35182.699999999997</v>
      </c>
      <c r="N37">
        <v>32275</v>
      </c>
      <c r="P37" t="s">
        <v>264</v>
      </c>
      <c r="Q37">
        <v>28146.16</v>
      </c>
      <c r="R37">
        <v>25750</v>
      </c>
      <c r="U37" t="s">
        <v>264</v>
      </c>
      <c r="V37">
        <v>21109.62</v>
      </c>
      <c r="W37">
        <v>19225</v>
      </c>
      <c r="Y37" t="s">
        <v>264</v>
      </c>
      <c r="Z37">
        <v>21109.62</v>
      </c>
      <c r="AA37">
        <v>19225</v>
      </c>
      <c r="AC37" t="s">
        <v>519</v>
      </c>
      <c r="AD37">
        <v>9433.36</v>
      </c>
      <c r="AE37">
        <v>0</v>
      </c>
      <c r="AG37" t="s">
        <v>519</v>
      </c>
      <c r="AH37">
        <v>9433.36</v>
      </c>
      <c r="AI37">
        <v>0</v>
      </c>
      <c r="AK37" t="s">
        <v>357</v>
      </c>
      <c r="AL37">
        <v>49975.86</v>
      </c>
      <c r="AM37">
        <v>41011.26</v>
      </c>
      <c r="AO37" t="s">
        <v>357</v>
      </c>
      <c r="AP37">
        <v>49975.86</v>
      </c>
      <c r="AQ37">
        <v>41011.26</v>
      </c>
      <c r="AS37" t="s">
        <v>357</v>
      </c>
      <c r="AT37">
        <v>49975.86</v>
      </c>
      <c r="AU37">
        <v>41011.26</v>
      </c>
    </row>
    <row r="38" spans="1:47" x14ac:dyDescent="0.3">
      <c r="A38" t="s">
        <v>253</v>
      </c>
      <c r="B38" t="s">
        <v>32</v>
      </c>
      <c r="C38" t="s">
        <v>271</v>
      </c>
      <c r="D38">
        <f t="shared" si="0"/>
        <v>20403.46</v>
      </c>
      <c r="E38">
        <f t="shared" si="1"/>
        <v>18623.009999999998</v>
      </c>
      <c r="F38" s="102">
        <f t="shared" si="5"/>
        <v>0</v>
      </c>
      <c r="G38" t="s">
        <v>519</v>
      </c>
      <c r="H38">
        <v>26316.73</v>
      </c>
      <c r="I38">
        <v>13935.84</v>
      </c>
      <c r="J38" s="75">
        <f t="shared" si="4"/>
        <v>0</v>
      </c>
      <c r="L38" t="s">
        <v>519</v>
      </c>
      <c r="M38">
        <v>23583.4</v>
      </c>
      <c r="N38">
        <v>9433.36</v>
      </c>
      <c r="P38" t="s">
        <v>519</v>
      </c>
      <c r="Q38">
        <v>18866.72</v>
      </c>
      <c r="R38">
        <v>4716.68</v>
      </c>
      <c r="U38" t="s">
        <v>519</v>
      </c>
      <c r="V38">
        <v>14150.04</v>
      </c>
      <c r="W38">
        <v>0</v>
      </c>
      <c r="Y38" t="s">
        <v>519</v>
      </c>
      <c r="Z38">
        <v>14150.04</v>
      </c>
      <c r="AA38">
        <v>0</v>
      </c>
      <c r="AC38" t="s">
        <v>265</v>
      </c>
      <c r="AD38">
        <v>76445.279999999999</v>
      </c>
      <c r="AE38">
        <v>70289.08</v>
      </c>
      <c r="AG38" t="s">
        <v>265</v>
      </c>
      <c r="AH38">
        <v>76445.279999999999</v>
      </c>
      <c r="AI38">
        <v>70289.08</v>
      </c>
      <c r="AK38" t="s">
        <v>358</v>
      </c>
      <c r="AO38" t="s">
        <v>358</v>
      </c>
      <c r="AS38" t="s">
        <v>358</v>
      </c>
    </row>
    <row r="39" spans="1:47" x14ac:dyDescent="0.3">
      <c r="A39" t="s">
        <v>253</v>
      </c>
      <c r="B39" t="s">
        <v>33</v>
      </c>
      <c r="C39" t="s">
        <v>272</v>
      </c>
      <c r="D39">
        <f t="shared" si="0"/>
        <v>1155.5</v>
      </c>
      <c r="E39">
        <f t="shared" si="1"/>
        <v>1674.75</v>
      </c>
      <c r="F39" s="102">
        <f t="shared" si="5"/>
        <v>0</v>
      </c>
      <c r="G39" t="s">
        <v>265</v>
      </c>
      <c r="H39">
        <v>223503.6</v>
      </c>
      <c r="I39">
        <v>227849.48</v>
      </c>
      <c r="J39" s="75">
        <f t="shared" si="4"/>
        <v>0</v>
      </c>
      <c r="L39" t="s">
        <v>265</v>
      </c>
      <c r="M39">
        <v>193557.4</v>
      </c>
      <c r="N39">
        <v>195245.44</v>
      </c>
      <c r="P39" t="s">
        <v>265</v>
      </c>
      <c r="Q39">
        <v>154845.92000000001</v>
      </c>
      <c r="R39">
        <v>140768.44</v>
      </c>
      <c r="U39" t="s">
        <v>265</v>
      </c>
      <c r="V39">
        <v>114667.92</v>
      </c>
      <c r="W39">
        <v>107801.52</v>
      </c>
      <c r="Y39" t="s">
        <v>265</v>
      </c>
      <c r="Z39">
        <v>114667.92</v>
      </c>
      <c r="AA39">
        <v>107801.52</v>
      </c>
      <c r="AC39" t="s">
        <v>357</v>
      </c>
      <c r="AD39">
        <v>99951.72</v>
      </c>
      <c r="AE39">
        <v>82989.08</v>
      </c>
      <c r="AG39" t="s">
        <v>357</v>
      </c>
      <c r="AH39">
        <v>99951.72</v>
      </c>
      <c r="AI39">
        <v>82989.08</v>
      </c>
      <c r="AK39" t="s">
        <v>267</v>
      </c>
      <c r="AL39">
        <v>0</v>
      </c>
      <c r="AM39">
        <v>231.08</v>
      </c>
      <c r="AO39" t="s">
        <v>267</v>
      </c>
      <c r="AP39">
        <v>0</v>
      </c>
      <c r="AQ39">
        <v>231.08</v>
      </c>
      <c r="AS39" t="s">
        <v>267</v>
      </c>
      <c r="AT39">
        <v>0</v>
      </c>
      <c r="AU39">
        <v>231.08</v>
      </c>
    </row>
    <row r="40" spans="1:47" x14ac:dyDescent="0.3">
      <c r="A40" t="s">
        <v>245</v>
      </c>
      <c r="B40" t="s">
        <v>116</v>
      </c>
      <c r="C40" t="s">
        <v>273</v>
      </c>
      <c r="D40">
        <f t="shared" si="0"/>
        <v>2719.5</v>
      </c>
      <c r="E40">
        <f t="shared" si="1"/>
        <v>2695</v>
      </c>
      <c r="F40" s="102">
        <f t="shared" si="5"/>
        <v>-292039.57</v>
      </c>
      <c r="G40" t="s">
        <v>357</v>
      </c>
      <c r="H40">
        <v>292039.57</v>
      </c>
      <c r="I40">
        <v>280585.32</v>
      </c>
      <c r="J40" s="75">
        <f t="shared" si="4"/>
        <v>-280585.32</v>
      </c>
      <c r="L40" t="s">
        <v>357</v>
      </c>
      <c r="M40">
        <v>252323.5</v>
      </c>
      <c r="N40">
        <v>236953.8</v>
      </c>
      <c r="P40" t="s">
        <v>357</v>
      </c>
      <c r="Q40">
        <v>201858.8</v>
      </c>
      <c r="R40">
        <v>171235.12</v>
      </c>
      <c r="U40" t="s">
        <v>357</v>
      </c>
      <c r="V40">
        <v>149927.57999999999</v>
      </c>
      <c r="W40">
        <v>127026.52</v>
      </c>
      <c r="Y40" t="s">
        <v>357</v>
      </c>
      <c r="Z40">
        <v>149927.57999999999</v>
      </c>
      <c r="AA40">
        <v>127026.52</v>
      </c>
      <c r="AC40" t="s">
        <v>358</v>
      </c>
      <c r="AG40" t="s">
        <v>358</v>
      </c>
      <c r="AK40" t="s">
        <v>268</v>
      </c>
      <c r="AL40">
        <v>538.30999999999995</v>
      </c>
      <c r="AM40">
        <v>472.4</v>
      </c>
      <c r="AO40" t="s">
        <v>268</v>
      </c>
      <c r="AP40">
        <v>538.30999999999995</v>
      </c>
      <c r="AQ40">
        <v>472.4</v>
      </c>
      <c r="AS40" t="s">
        <v>268</v>
      </c>
      <c r="AT40">
        <v>538.30999999999995</v>
      </c>
      <c r="AU40">
        <v>472.4</v>
      </c>
    </row>
    <row r="41" spans="1:47" x14ac:dyDescent="0.3">
      <c r="A41" t="s">
        <v>253</v>
      </c>
      <c r="B41" t="s">
        <v>34</v>
      </c>
      <c r="C41" t="s">
        <v>274</v>
      </c>
      <c r="D41">
        <f t="shared" si="0"/>
        <v>10916.46</v>
      </c>
      <c r="E41">
        <f t="shared" si="1"/>
        <v>11522.08</v>
      </c>
      <c r="F41" s="102">
        <f t="shared" si="5"/>
        <v>0</v>
      </c>
      <c r="G41" t="s">
        <v>358</v>
      </c>
      <c r="J41" s="75">
        <f t="shared" si="4"/>
        <v>0</v>
      </c>
      <c r="L41" t="s">
        <v>358</v>
      </c>
      <c r="P41" t="s">
        <v>358</v>
      </c>
      <c r="U41" t="s">
        <v>358</v>
      </c>
      <c r="Y41" t="s">
        <v>358</v>
      </c>
      <c r="AC41" t="s">
        <v>267</v>
      </c>
      <c r="AD41">
        <v>0</v>
      </c>
      <c r="AE41">
        <v>0</v>
      </c>
      <c r="AG41" t="s">
        <v>267</v>
      </c>
      <c r="AH41">
        <v>0</v>
      </c>
      <c r="AI41">
        <v>0</v>
      </c>
      <c r="AK41" t="s">
        <v>520</v>
      </c>
      <c r="AL41">
        <v>360.84</v>
      </c>
      <c r="AM41">
        <v>0</v>
      </c>
      <c r="AO41" t="s">
        <v>520</v>
      </c>
      <c r="AP41">
        <v>360.84</v>
      </c>
      <c r="AQ41">
        <v>0</v>
      </c>
      <c r="AS41" t="s">
        <v>520</v>
      </c>
      <c r="AT41">
        <v>360.84</v>
      </c>
      <c r="AU41">
        <v>0</v>
      </c>
    </row>
    <row r="42" spans="1:47" x14ac:dyDescent="0.3">
      <c r="A42" t="s">
        <v>253</v>
      </c>
      <c r="B42" t="s">
        <v>51</v>
      </c>
      <c r="C42" t="s">
        <v>275</v>
      </c>
      <c r="D42">
        <f t="shared" si="0"/>
        <v>2149.79</v>
      </c>
      <c r="E42">
        <f t="shared" si="1"/>
        <v>0</v>
      </c>
      <c r="F42" s="102">
        <f t="shared" si="5"/>
        <v>0</v>
      </c>
      <c r="G42" t="s">
        <v>267</v>
      </c>
      <c r="H42">
        <v>0</v>
      </c>
      <c r="I42">
        <v>0</v>
      </c>
      <c r="J42" s="75">
        <f t="shared" si="4"/>
        <v>0</v>
      </c>
      <c r="L42" t="s">
        <v>267</v>
      </c>
      <c r="M42">
        <v>0</v>
      </c>
      <c r="N42">
        <v>0</v>
      </c>
      <c r="P42" t="s">
        <v>267</v>
      </c>
      <c r="Q42">
        <v>0</v>
      </c>
      <c r="R42">
        <v>0</v>
      </c>
      <c r="U42" t="s">
        <v>267</v>
      </c>
      <c r="V42">
        <v>0</v>
      </c>
      <c r="W42">
        <v>0</v>
      </c>
      <c r="Y42" t="s">
        <v>267</v>
      </c>
      <c r="Z42">
        <v>0</v>
      </c>
      <c r="AA42">
        <v>0</v>
      </c>
      <c r="AC42" t="s">
        <v>268</v>
      </c>
      <c r="AD42">
        <v>1076.5899999999999</v>
      </c>
      <c r="AE42">
        <v>971.58</v>
      </c>
      <c r="AG42" t="s">
        <v>268</v>
      </c>
      <c r="AH42">
        <v>1076.5899999999999</v>
      </c>
      <c r="AI42">
        <v>971.58</v>
      </c>
      <c r="AK42" t="s">
        <v>269</v>
      </c>
      <c r="AL42">
        <v>2943.13</v>
      </c>
      <c r="AM42">
        <v>2453</v>
      </c>
      <c r="AO42" t="s">
        <v>269</v>
      </c>
      <c r="AP42">
        <v>2943.13</v>
      </c>
      <c r="AQ42">
        <v>2453</v>
      </c>
      <c r="AS42" t="s">
        <v>269</v>
      </c>
      <c r="AT42">
        <v>2943.13</v>
      </c>
      <c r="AU42">
        <v>2453</v>
      </c>
    </row>
    <row r="43" spans="1:47" x14ac:dyDescent="0.3">
      <c r="A43" t="s">
        <v>245</v>
      </c>
      <c r="B43" t="s">
        <v>124</v>
      </c>
      <c r="C43" t="s">
        <v>124</v>
      </c>
      <c r="D43">
        <f t="shared" si="0"/>
        <v>0</v>
      </c>
      <c r="E43">
        <f t="shared" si="1"/>
        <v>0</v>
      </c>
      <c r="F43" s="102">
        <f t="shared" si="5"/>
        <v>0</v>
      </c>
      <c r="G43" t="s">
        <v>268</v>
      </c>
      <c r="H43">
        <v>3260.51</v>
      </c>
      <c r="I43">
        <v>2975.3</v>
      </c>
      <c r="J43" s="75">
        <f t="shared" si="4"/>
        <v>0</v>
      </c>
      <c r="L43" t="s">
        <v>268</v>
      </c>
      <c r="M43">
        <v>2722.23</v>
      </c>
      <c r="N43">
        <v>2476.12</v>
      </c>
      <c r="P43" t="s">
        <v>268</v>
      </c>
      <c r="Q43">
        <v>2183.9499999999998</v>
      </c>
      <c r="R43">
        <v>1976.46</v>
      </c>
      <c r="U43" t="s">
        <v>268</v>
      </c>
      <c r="V43">
        <v>1614.87</v>
      </c>
      <c r="W43">
        <v>1470.76</v>
      </c>
      <c r="Y43" t="s">
        <v>268</v>
      </c>
      <c r="Z43">
        <v>1614.87</v>
      </c>
      <c r="AA43">
        <v>1470.76</v>
      </c>
      <c r="AC43" t="s">
        <v>520</v>
      </c>
      <c r="AD43">
        <v>721.68</v>
      </c>
      <c r="AE43">
        <v>0</v>
      </c>
      <c r="AG43" t="s">
        <v>520</v>
      </c>
      <c r="AH43">
        <v>721.68</v>
      </c>
      <c r="AI43">
        <v>0</v>
      </c>
      <c r="AK43" t="s">
        <v>359</v>
      </c>
      <c r="AL43">
        <v>3842.28</v>
      </c>
      <c r="AM43">
        <v>3156.48</v>
      </c>
      <c r="AO43" t="s">
        <v>359</v>
      </c>
      <c r="AP43">
        <v>3842.28</v>
      </c>
      <c r="AQ43">
        <v>3156.48</v>
      </c>
      <c r="AS43" t="s">
        <v>359</v>
      </c>
      <c r="AT43">
        <v>3842.28</v>
      </c>
      <c r="AU43">
        <v>3156.48</v>
      </c>
    </row>
    <row r="44" spans="1:47" x14ac:dyDescent="0.3">
      <c r="A44" t="s">
        <v>245</v>
      </c>
      <c r="B44" t="s">
        <v>122</v>
      </c>
      <c r="C44" t="s">
        <v>276</v>
      </c>
      <c r="D44">
        <f t="shared" si="0"/>
        <v>59769.54</v>
      </c>
      <c r="E44">
        <f t="shared" si="1"/>
        <v>63070.5</v>
      </c>
      <c r="F44" s="102">
        <f t="shared" si="5"/>
        <v>0</v>
      </c>
      <c r="G44" t="s">
        <v>520</v>
      </c>
      <c r="H44">
        <v>2044.11</v>
      </c>
      <c r="I44">
        <v>1089.52</v>
      </c>
      <c r="J44" s="75">
        <f t="shared" si="4"/>
        <v>0</v>
      </c>
      <c r="L44" t="s">
        <v>520</v>
      </c>
      <c r="M44">
        <v>1835.01</v>
      </c>
      <c r="N44">
        <v>728.68</v>
      </c>
      <c r="P44" t="s">
        <v>520</v>
      </c>
      <c r="Q44">
        <v>1464.12</v>
      </c>
      <c r="R44">
        <v>365.56</v>
      </c>
      <c r="U44" t="s">
        <v>520</v>
      </c>
      <c r="V44">
        <v>1082.52</v>
      </c>
      <c r="W44">
        <v>0</v>
      </c>
      <c r="Y44" t="s">
        <v>520</v>
      </c>
      <c r="Z44">
        <v>1082.52</v>
      </c>
      <c r="AA44">
        <v>0</v>
      </c>
      <c r="AC44" t="s">
        <v>269</v>
      </c>
      <c r="AD44">
        <v>5886.26</v>
      </c>
      <c r="AE44">
        <v>5415.32</v>
      </c>
      <c r="AG44" t="s">
        <v>269</v>
      </c>
      <c r="AH44">
        <v>5886.26</v>
      </c>
      <c r="AI44">
        <v>5415.32</v>
      </c>
      <c r="AK44" t="s">
        <v>360</v>
      </c>
      <c r="AO44" t="s">
        <v>360</v>
      </c>
      <c r="AS44" t="s">
        <v>360</v>
      </c>
    </row>
    <row r="45" spans="1:47" x14ac:dyDescent="0.3">
      <c r="A45" t="s">
        <v>245</v>
      </c>
      <c r="B45" t="s">
        <v>130</v>
      </c>
      <c r="C45" t="s">
        <v>130</v>
      </c>
      <c r="D45">
        <f t="shared" si="0"/>
        <v>22449.86</v>
      </c>
      <c r="E45">
        <f t="shared" si="1"/>
        <v>17966.91</v>
      </c>
      <c r="F45" s="102">
        <f t="shared" si="5"/>
        <v>0</v>
      </c>
      <c r="G45" t="s">
        <v>269</v>
      </c>
      <c r="H45">
        <v>17392.32</v>
      </c>
      <c r="I45">
        <v>17934.939999999999</v>
      </c>
      <c r="J45" s="75">
        <f t="shared" si="4"/>
        <v>0</v>
      </c>
      <c r="L45" t="s">
        <v>269</v>
      </c>
      <c r="M45">
        <v>15086.4</v>
      </c>
      <c r="N45">
        <v>15207.2</v>
      </c>
      <c r="P45" t="s">
        <v>269</v>
      </c>
      <c r="Q45">
        <v>12066.08</v>
      </c>
      <c r="R45">
        <v>11013.55</v>
      </c>
      <c r="U45" t="s">
        <v>269</v>
      </c>
      <c r="V45">
        <v>8829.39</v>
      </c>
      <c r="W45">
        <v>8443.1200000000008</v>
      </c>
      <c r="Y45" t="s">
        <v>269</v>
      </c>
      <c r="Z45">
        <v>8829.39</v>
      </c>
      <c r="AA45">
        <v>8443.1200000000008</v>
      </c>
      <c r="AC45" t="s">
        <v>359</v>
      </c>
      <c r="AD45">
        <v>7684.53</v>
      </c>
      <c r="AE45">
        <v>6386.9</v>
      </c>
      <c r="AG45" t="s">
        <v>359</v>
      </c>
      <c r="AH45">
        <v>7684.53</v>
      </c>
      <c r="AI45">
        <v>6386.9</v>
      </c>
      <c r="AK45" t="s">
        <v>270</v>
      </c>
      <c r="AL45">
        <v>780.54</v>
      </c>
      <c r="AM45">
        <v>729.16</v>
      </c>
      <c r="AO45" t="s">
        <v>270</v>
      </c>
      <c r="AP45">
        <v>780.54</v>
      </c>
      <c r="AQ45">
        <v>729.16</v>
      </c>
      <c r="AS45" t="s">
        <v>270</v>
      </c>
      <c r="AT45">
        <v>780.54</v>
      </c>
      <c r="AU45">
        <v>729.16</v>
      </c>
    </row>
    <row r="46" spans="1:47" x14ac:dyDescent="0.3">
      <c r="A46" t="s">
        <v>245</v>
      </c>
      <c r="B46" t="s">
        <v>581</v>
      </c>
      <c r="C46" t="s">
        <v>277</v>
      </c>
      <c r="D46">
        <f t="shared" si="0"/>
        <v>158707.01</v>
      </c>
      <c r="E46">
        <f t="shared" si="1"/>
        <v>179607.28</v>
      </c>
      <c r="F46" s="102">
        <f t="shared" si="5"/>
        <v>-22696.94</v>
      </c>
      <c r="G46" t="s">
        <v>359</v>
      </c>
      <c r="H46">
        <v>22696.94</v>
      </c>
      <c r="I46">
        <v>21999.759999999998</v>
      </c>
      <c r="J46" s="75">
        <f t="shared" si="4"/>
        <v>-21999.759999999998</v>
      </c>
      <c r="L46" t="s">
        <v>359</v>
      </c>
      <c r="M46">
        <v>19643.64</v>
      </c>
      <c r="N46">
        <v>18412</v>
      </c>
      <c r="P46" t="s">
        <v>359</v>
      </c>
      <c r="Q46">
        <v>15714.15</v>
      </c>
      <c r="R46">
        <v>13355.57</v>
      </c>
      <c r="U46" t="s">
        <v>359</v>
      </c>
      <c r="V46">
        <v>11526.78</v>
      </c>
      <c r="W46">
        <v>9913.8799999999992</v>
      </c>
      <c r="Y46" t="s">
        <v>359</v>
      </c>
      <c r="Z46">
        <v>11526.78</v>
      </c>
      <c r="AA46">
        <v>9913.8799999999992</v>
      </c>
      <c r="AC46" t="s">
        <v>360</v>
      </c>
      <c r="AG46" t="s">
        <v>360</v>
      </c>
      <c r="AK46" t="s">
        <v>271</v>
      </c>
      <c r="AL46">
        <v>3667.35</v>
      </c>
      <c r="AM46">
        <v>3314.52</v>
      </c>
      <c r="AO46" t="s">
        <v>271</v>
      </c>
      <c r="AP46">
        <v>3667.35</v>
      </c>
      <c r="AQ46">
        <v>3314.52</v>
      </c>
      <c r="AS46" t="s">
        <v>271</v>
      </c>
      <c r="AT46">
        <v>3667.35</v>
      </c>
      <c r="AU46">
        <v>3314.52</v>
      </c>
    </row>
    <row r="47" spans="1:47" x14ac:dyDescent="0.3">
      <c r="A47" t="s">
        <v>245</v>
      </c>
      <c r="B47" t="s">
        <v>131</v>
      </c>
      <c r="C47" t="s">
        <v>131</v>
      </c>
      <c r="D47">
        <f t="shared" si="0"/>
        <v>16500</v>
      </c>
      <c r="E47">
        <f t="shared" si="1"/>
        <v>24000</v>
      </c>
      <c r="F47" s="102">
        <f t="shared" si="5"/>
        <v>0</v>
      </c>
      <c r="G47" t="s">
        <v>360</v>
      </c>
      <c r="J47" s="75">
        <f t="shared" si="4"/>
        <v>0</v>
      </c>
      <c r="L47" t="s">
        <v>360</v>
      </c>
      <c r="P47" t="s">
        <v>360</v>
      </c>
      <c r="U47" t="s">
        <v>360</v>
      </c>
      <c r="Y47" t="s">
        <v>360</v>
      </c>
      <c r="AC47" t="s">
        <v>270</v>
      </c>
      <c r="AD47">
        <v>1561.08</v>
      </c>
      <c r="AE47">
        <v>1458.32</v>
      </c>
      <c r="AG47" t="s">
        <v>270</v>
      </c>
      <c r="AH47">
        <v>1561.08</v>
      </c>
      <c r="AI47">
        <v>1458.32</v>
      </c>
      <c r="AK47" t="s">
        <v>361</v>
      </c>
      <c r="AL47">
        <v>4447.8900000000003</v>
      </c>
      <c r="AM47">
        <v>4043.68</v>
      </c>
      <c r="AO47" t="s">
        <v>361</v>
      </c>
      <c r="AP47">
        <v>4447.8900000000003</v>
      </c>
      <c r="AQ47">
        <v>4043.68</v>
      </c>
      <c r="AS47" t="s">
        <v>361</v>
      </c>
      <c r="AT47">
        <v>4447.8900000000003</v>
      </c>
      <c r="AU47">
        <v>4043.68</v>
      </c>
    </row>
    <row r="48" spans="1:47" x14ac:dyDescent="0.3">
      <c r="A48" t="s">
        <v>245</v>
      </c>
      <c r="B48" t="s">
        <v>117</v>
      </c>
      <c r="C48" t="s">
        <v>278</v>
      </c>
      <c r="D48">
        <f t="shared" si="0"/>
        <v>34322.5</v>
      </c>
      <c r="E48">
        <f t="shared" si="1"/>
        <v>24714.75</v>
      </c>
      <c r="F48" s="102">
        <f t="shared" si="5"/>
        <v>0</v>
      </c>
      <c r="G48" t="s">
        <v>270</v>
      </c>
      <c r="H48">
        <v>4683.24</v>
      </c>
      <c r="I48">
        <v>4374.96</v>
      </c>
      <c r="J48" s="75">
        <f t="shared" si="4"/>
        <v>0</v>
      </c>
      <c r="L48" t="s">
        <v>270</v>
      </c>
      <c r="M48">
        <v>4683.24</v>
      </c>
      <c r="N48">
        <v>3645.8</v>
      </c>
      <c r="P48" t="s">
        <v>270</v>
      </c>
      <c r="Q48">
        <v>3122.16</v>
      </c>
      <c r="R48">
        <v>2916.64</v>
      </c>
      <c r="U48" t="s">
        <v>270</v>
      </c>
      <c r="V48">
        <v>2341.62</v>
      </c>
      <c r="W48">
        <v>2187.48</v>
      </c>
      <c r="Y48" t="s">
        <v>270</v>
      </c>
      <c r="Z48">
        <v>2341.62</v>
      </c>
      <c r="AA48">
        <v>2187.48</v>
      </c>
      <c r="AC48" t="s">
        <v>271</v>
      </c>
      <c r="AD48">
        <v>7334.7</v>
      </c>
      <c r="AE48">
        <v>6629.04</v>
      </c>
      <c r="AG48" t="s">
        <v>271</v>
      </c>
      <c r="AH48">
        <v>7334.7</v>
      </c>
      <c r="AI48">
        <v>6629.04</v>
      </c>
      <c r="AK48" t="s">
        <v>272</v>
      </c>
      <c r="AL48">
        <v>577.75</v>
      </c>
      <c r="AM48">
        <v>558.25</v>
      </c>
      <c r="AO48" t="s">
        <v>272</v>
      </c>
      <c r="AP48">
        <v>577.75</v>
      </c>
      <c r="AQ48">
        <v>558.25</v>
      </c>
      <c r="AS48" t="s">
        <v>272</v>
      </c>
      <c r="AT48">
        <v>577.75</v>
      </c>
      <c r="AU48">
        <v>558.25</v>
      </c>
    </row>
    <row r="49" spans="1:47" x14ac:dyDescent="0.3">
      <c r="A49" t="s">
        <v>245</v>
      </c>
      <c r="B49" t="s">
        <v>128</v>
      </c>
      <c r="C49" t="s">
        <v>279</v>
      </c>
      <c r="D49">
        <f t="shared" si="0"/>
        <v>26658.720000000001</v>
      </c>
      <c r="E49">
        <f t="shared" si="1"/>
        <v>10007.83</v>
      </c>
      <c r="F49" s="102">
        <f t="shared" si="5"/>
        <v>0</v>
      </c>
      <c r="G49" t="s">
        <v>271</v>
      </c>
      <c r="H49">
        <v>20403.46</v>
      </c>
      <c r="I49">
        <v>18623.009999999998</v>
      </c>
      <c r="J49" s="75">
        <f t="shared" si="4"/>
        <v>0</v>
      </c>
      <c r="L49" t="s">
        <v>271</v>
      </c>
      <c r="M49">
        <v>19968.349999999999</v>
      </c>
      <c r="N49">
        <v>15910.12</v>
      </c>
      <c r="P49" t="s">
        <v>271</v>
      </c>
      <c r="Q49">
        <v>14669.4</v>
      </c>
      <c r="R49">
        <v>13156.73</v>
      </c>
      <c r="U49" t="s">
        <v>271</v>
      </c>
      <c r="V49">
        <v>11002.05</v>
      </c>
      <c r="W49">
        <v>9943.56</v>
      </c>
      <c r="Y49" t="s">
        <v>271</v>
      </c>
      <c r="Z49">
        <v>11002.05</v>
      </c>
      <c r="AA49">
        <v>9943.56</v>
      </c>
      <c r="AC49" t="s">
        <v>361</v>
      </c>
      <c r="AD49">
        <v>8895.7800000000007</v>
      </c>
      <c r="AE49">
        <v>8087.36</v>
      </c>
      <c r="AG49" t="s">
        <v>361</v>
      </c>
      <c r="AH49">
        <v>8895.7800000000007</v>
      </c>
      <c r="AI49">
        <v>8087.36</v>
      </c>
      <c r="AK49" t="s">
        <v>362</v>
      </c>
      <c r="AO49" t="s">
        <v>362</v>
      </c>
      <c r="AS49" t="s">
        <v>362</v>
      </c>
    </row>
    <row r="50" spans="1:47" x14ac:dyDescent="0.3">
      <c r="A50" t="s">
        <v>245</v>
      </c>
      <c r="B50" t="s">
        <v>118</v>
      </c>
      <c r="C50" t="s">
        <v>118</v>
      </c>
      <c r="D50">
        <f t="shared" si="0"/>
        <v>0</v>
      </c>
      <c r="E50">
        <f t="shared" si="1"/>
        <v>3014.2</v>
      </c>
      <c r="F50" s="102">
        <f t="shared" si="5"/>
        <v>-25086.7</v>
      </c>
      <c r="G50" t="s">
        <v>361</v>
      </c>
      <c r="H50">
        <v>25086.7</v>
      </c>
      <c r="I50">
        <v>22997.97</v>
      </c>
      <c r="J50" s="75">
        <f t="shared" si="4"/>
        <v>-22997.97</v>
      </c>
      <c r="L50" t="s">
        <v>361</v>
      </c>
      <c r="M50">
        <v>24651.59</v>
      </c>
      <c r="N50">
        <v>19555.919999999998</v>
      </c>
      <c r="P50" t="s">
        <v>361</v>
      </c>
      <c r="Q50">
        <v>17791.560000000001</v>
      </c>
      <c r="R50">
        <v>16073.37</v>
      </c>
      <c r="U50" t="s">
        <v>361</v>
      </c>
      <c r="V50">
        <v>13343.67</v>
      </c>
      <c r="W50">
        <v>12131.04</v>
      </c>
      <c r="Y50" t="s">
        <v>361</v>
      </c>
      <c r="Z50">
        <v>13343.67</v>
      </c>
      <c r="AA50">
        <v>12131.04</v>
      </c>
      <c r="AC50" t="s">
        <v>272</v>
      </c>
      <c r="AD50">
        <v>577.75</v>
      </c>
      <c r="AE50">
        <v>558.25</v>
      </c>
      <c r="AG50" t="s">
        <v>272</v>
      </c>
      <c r="AH50">
        <v>577.75</v>
      </c>
      <c r="AI50">
        <v>558.25</v>
      </c>
      <c r="AK50" t="s">
        <v>273</v>
      </c>
      <c r="AL50">
        <v>453.25</v>
      </c>
      <c r="AM50">
        <v>428.75</v>
      </c>
      <c r="AO50" t="s">
        <v>273</v>
      </c>
      <c r="AP50">
        <v>453.25</v>
      </c>
      <c r="AQ50">
        <v>428.75</v>
      </c>
      <c r="AS50" t="s">
        <v>273</v>
      </c>
      <c r="AT50">
        <v>453.25</v>
      </c>
      <c r="AU50">
        <v>428.75</v>
      </c>
    </row>
    <row r="51" spans="1:47" x14ac:dyDescent="0.3">
      <c r="A51" t="s">
        <v>245</v>
      </c>
      <c r="B51" t="s">
        <v>123</v>
      </c>
      <c r="C51" t="s">
        <v>123</v>
      </c>
      <c r="D51">
        <f t="shared" si="0"/>
        <v>3942.73</v>
      </c>
      <c r="E51">
        <f t="shared" si="1"/>
        <v>2907.42</v>
      </c>
      <c r="F51" s="102">
        <f t="shared" si="5"/>
        <v>0</v>
      </c>
      <c r="G51" t="s">
        <v>272</v>
      </c>
      <c r="H51">
        <v>1155.5</v>
      </c>
      <c r="I51">
        <v>1674.75</v>
      </c>
      <c r="J51" s="75">
        <f t="shared" si="4"/>
        <v>0</v>
      </c>
      <c r="L51" t="s">
        <v>272</v>
      </c>
      <c r="M51">
        <v>1155.5</v>
      </c>
      <c r="N51">
        <v>1116.5</v>
      </c>
      <c r="P51" t="s">
        <v>272</v>
      </c>
      <c r="Q51">
        <v>1155.5</v>
      </c>
      <c r="R51">
        <v>1116.5</v>
      </c>
      <c r="U51" t="s">
        <v>272</v>
      </c>
      <c r="V51">
        <v>1155.5</v>
      </c>
      <c r="W51">
        <v>1116.5</v>
      </c>
      <c r="Y51" t="s">
        <v>272</v>
      </c>
      <c r="Z51">
        <v>1155.5</v>
      </c>
      <c r="AA51">
        <v>1116.5</v>
      </c>
      <c r="AC51" t="s">
        <v>362</v>
      </c>
      <c r="AG51" t="s">
        <v>362</v>
      </c>
      <c r="AK51" t="s">
        <v>274</v>
      </c>
      <c r="AL51">
        <v>1819.41</v>
      </c>
      <c r="AM51">
        <v>2122.2199999999998</v>
      </c>
      <c r="AO51" t="s">
        <v>274</v>
      </c>
      <c r="AP51">
        <v>1819.41</v>
      </c>
      <c r="AQ51">
        <v>2122.2199999999998</v>
      </c>
      <c r="AS51" t="s">
        <v>274</v>
      </c>
      <c r="AT51">
        <v>1819.41</v>
      </c>
      <c r="AU51">
        <v>2122.2199999999998</v>
      </c>
    </row>
    <row r="52" spans="1:47" x14ac:dyDescent="0.3">
      <c r="A52" t="s">
        <v>245</v>
      </c>
      <c r="B52" t="s">
        <v>115</v>
      </c>
      <c r="C52" t="s">
        <v>280</v>
      </c>
      <c r="D52">
        <f t="shared" si="0"/>
        <v>4027.2</v>
      </c>
      <c r="E52">
        <f t="shared" si="1"/>
        <v>14442.08</v>
      </c>
      <c r="F52" s="102">
        <f t="shared" si="5"/>
        <v>0</v>
      </c>
      <c r="G52" t="s">
        <v>362</v>
      </c>
      <c r="J52" s="75">
        <f t="shared" si="4"/>
        <v>0</v>
      </c>
      <c r="L52" t="s">
        <v>362</v>
      </c>
      <c r="P52" t="s">
        <v>362</v>
      </c>
      <c r="U52" t="s">
        <v>362</v>
      </c>
      <c r="Y52" t="s">
        <v>362</v>
      </c>
      <c r="AC52" t="s">
        <v>273</v>
      </c>
      <c r="AD52">
        <v>906.5</v>
      </c>
      <c r="AE52">
        <v>882</v>
      </c>
      <c r="AG52" t="s">
        <v>273</v>
      </c>
      <c r="AH52">
        <v>906.5</v>
      </c>
      <c r="AI52">
        <v>882</v>
      </c>
      <c r="AK52" t="s">
        <v>363</v>
      </c>
      <c r="AL52">
        <v>2272.66</v>
      </c>
      <c r="AM52">
        <v>2550.9699999999998</v>
      </c>
      <c r="AO52" t="s">
        <v>363</v>
      </c>
      <c r="AP52">
        <v>2272.66</v>
      </c>
      <c r="AQ52">
        <v>2550.9699999999998</v>
      </c>
      <c r="AS52" t="s">
        <v>363</v>
      </c>
      <c r="AT52">
        <v>2272.66</v>
      </c>
      <c r="AU52">
        <v>2550.9699999999998</v>
      </c>
    </row>
    <row r="53" spans="1:47" x14ac:dyDescent="0.3">
      <c r="A53" t="s">
        <v>245</v>
      </c>
      <c r="B53" t="s">
        <v>232</v>
      </c>
      <c r="C53" t="s">
        <v>281</v>
      </c>
      <c r="D53">
        <f t="shared" si="0"/>
        <v>18047.580000000002</v>
      </c>
      <c r="E53">
        <f t="shared" si="1"/>
        <v>7550</v>
      </c>
      <c r="F53" s="102">
        <f t="shared" si="5"/>
        <v>0</v>
      </c>
      <c r="G53" t="s">
        <v>273</v>
      </c>
      <c r="H53">
        <v>2719.5</v>
      </c>
      <c r="I53">
        <v>2695</v>
      </c>
      <c r="J53" s="75">
        <f t="shared" si="4"/>
        <v>0</v>
      </c>
      <c r="L53" t="s">
        <v>273</v>
      </c>
      <c r="M53">
        <v>2266.25</v>
      </c>
      <c r="N53">
        <v>2241.75</v>
      </c>
      <c r="P53" t="s">
        <v>273</v>
      </c>
      <c r="Q53">
        <v>1813</v>
      </c>
      <c r="R53">
        <v>1788.5</v>
      </c>
      <c r="U53" t="s">
        <v>273</v>
      </c>
      <c r="V53">
        <v>1359.75</v>
      </c>
      <c r="W53">
        <v>1335.25</v>
      </c>
      <c r="Y53" t="s">
        <v>273</v>
      </c>
      <c r="Z53">
        <v>1359.75</v>
      </c>
      <c r="AA53">
        <v>1335.25</v>
      </c>
      <c r="AC53" t="s">
        <v>274</v>
      </c>
      <c r="AD53">
        <v>3638.82</v>
      </c>
      <c r="AE53">
        <v>4244.4399999999996</v>
      </c>
      <c r="AG53" t="s">
        <v>274</v>
      </c>
      <c r="AH53">
        <v>3638.82</v>
      </c>
      <c r="AI53">
        <v>4244.4399999999996</v>
      </c>
      <c r="AK53" t="s">
        <v>364</v>
      </c>
      <c r="AL53">
        <v>61116.44</v>
      </c>
      <c r="AM53">
        <v>51320.639999999999</v>
      </c>
      <c r="AO53" t="s">
        <v>364</v>
      </c>
      <c r="AP53">
        <v>61116.44</v>
      </c>
      <c r="AQ53">
        <v>51320.639999999999</v>
      </c>
      <c r="AS53" t="s">
        <v>364</v>
      </c>
      <c r="AT53">
        <v>61116.44</v>
      </c>
      <c r="AU53">
        <v>51320.639999999999</v>
      </c>
    </row>
    <row r="54" spans="1:47" x14ac:dyDescent="0.3">
      <c r="A54" t="s">
        <v>245</v>
      </c>
      <c r="B54" t="s">
        <v>127</v>
      </c>
      <c r="C54" t="s">
        <v>282</v>
      </c>
      <c r="D54">
        <f t="shared" si="0"/>
        <v>892.81</v>
      </c>
      <c r="E54">
        <f t="shared" si="1"/>
        <v>180</v>
      </c>
      <c r="F54" s="102">
        <f t="shared" si="5"/>
        <v>0</v>
      </c>
      <c r="G54" t="s">
        <v>274</v>
      </c>
      <c r="H54">
        <v>10916.46</v>
      </c>
      <c r="I54">
        <v>11522.08</v>
      </c>
      <c r="J54" s="75">
        <f t="shared" si="4"/>
        <v>0</v>
      </c>
      <c r="L54" t="s">
        <v>274</v>
      </c>
      <c r="M54">
        <v>9097.0499999999993</v>
      </c>
      <c r="N54">
        <v>9702.67</v>
      </c>
      <c r="P54" t="s">
        <v>274</v>
      </c>
      <c r="Q54">
        <v>7277.64</v>
      </c>
      <c r="R54">
        <v>7883.26</v>
      </c>
      <c r="U54" t="s">
        <v>274</v>
      </c>
      <c r="V54">
        <v>5458.23</v>
      </c>
      <c r="W54">
        <v>6063.85</v>
      </c>
      <c r="Y54" t="s">
        <v>274</v>
      </c>
      <c r="Z54">
        <v>5458.23</v>
      </c>
      <c r="AA54">
        <v>6063.85</v>
      </c>
      <c r="AC54" t="s">
        <v>363</v>
      </c>
      <c r="AD54">
        <v>4545.32</v>
      </c>
      <c r="AE54">
        <v>5126.4399999999996</v>
      </c>
      <c r="AG54" t="s">
        <v>363</v>
      </c>
      <c r="AH54">
        <v>4545.32</v>
      </c>
      <c r="AI54">
        <v>5126.4399999999996</v>
      </c>
      <c r="AK54" t="s">
        <v>365</v>
      </c>
      <c r="AL54">
        <v>72643.55</v>
      </c>
      <c r="AM54">
        <v>64016.45</v>
      </c>
      <c r="AO54" t="s">
        <v>365</v>
      </c>
      <c r="AP54">
        <v>72643.55</v>
      </c>
      <c r="AQ54">
        <v>64016.45</v>
      </c>
      <c r="AS54" t="s">
        <v>365</v>
      </c>
      <c r="AT54">
        <v>72643.55</v>
      </c>
      <c r="AU54">
        <v>64016.45</v>
      </c>
    </row>
    <row r="55" spans="1:47" x14ac:dyDescent="0.3">
      <c r="A55" t="s">
        <v>245</v>
      </c>
      <c r="B55" t="s">
        <v>136</v>
      </c>
      <c r="C55" t="s">
        <v>140</v>
      </c>
      <c r="D55">
        <f t="shared" si="0"/>
        <v>26766.58</v>
      </c>
      <c r="E55">
        <f t="shared" si="1"/>
        <v>49008.98</v>
      </c>
      <c r="F55" s="102">
        <f t="shared" si="5"/>
        <v>-13635.96</v>
      </c>
      <c r="G55" t="s">
        <v>363</v>
      </c>
      <c r="H55">
        <v>13635.96</v>
      </c>
      <c r="I55">
        <v>14217.08</v>
      </c>
      <c r="J55" s="75">
        <f t="shared" si="4"/>
        <v>-14217.08</v>
      </c>
      <c r="L55" t="s">
        <v>363</v>
      </c>
      <c r="M55">
        <v>11363.3</v>
      </c>
      <c r="N55">
        <v>11944.42</v>
      </c>
      <c r="P55" t="s">
        <v>363</v>
      </c>
      <c r="Q55">
        <v>9090.64</v>
      </c>
      <c r="R55">
        <v>9671.76</v>
      </c>
      <c r="U55" t="s">
        <v>363</v>
      </c>
      <c r="V55">
        <v>6817.98</v>
      </c>
      <c r="W55">
        <v>7399.1</v>
      </c>
      <c r="Y55" t="s">
        <v>363</v>
      </c>
      <c r="Z55">
        <v>6817.98</v>
      </c>
      <c r="AA55">
        <v>7399.1</v>
      </c>
      <c r="AC55" t="s">
        <v>364</v>
      </c>
      <c r="AD55">
        <v>121655.1</v>
      </c>
      <c r="AE55">
        <v>103148.03</v>
      </c>
      <c r="AG55" t="s">
        <v>364</v>
      </c>
      <c r="AH55">
        <v>121655.1</v>
      </c>
      <c r="AI55">
        <v>103148.03</v>
      </c>
      <c r="AK55" t="s">
        <v>366</v>
      </c>
      <c r="AL55">
        <v>72643.55</v>
      </c>
      <c r="AM55">
        <v>64016.45</v>
      </c>
      <c r="AO55" t="s">
        <v>366</v>
      </c>
      <c r="AP55">
        <v>72643.55</v>
      </c>
      <c r="AQ55">
        <v>64016.45</v>
      </c>
      <c r="AS55" t="s">
        <v>366</v>
      </c>
      <c r="AT55">
        <v>72643.55</v>
      </c>
      <c r="AU55">
        <v>64016.45</v>
      </c>
    </row>
    <row r="56" spans="1:47" x14ac:dyDescent="0.3">
      <c r="A56" t="s">
        <v>245</v>
      </c>
      <c r="B56" t="s">
        <v>508</v>
      </c>
      <c r="C56" t="s">
        <v>489</v>
      </c>
      <c r="D56">
        <f t="shared" si="0"/>
        <v>17444.900000000001</v>
      </c>
      <c r="E56">
        <f t="shared" si="1"/>
        <v>724</v>
      </c>
      <c r="F56" s="102">
        <f t="shared" si="5"/>
        <v>-354614.67</v>
      </c>
      <c r="G56" t="s">
        <v>364</v>
      </c>
      <c r="H56">
        <v>354614.67</v>
      </c>
      <c r="I56">
        <v>341474.88</v>
      </c>
      <c r="J56" s="75">
        <f t="shared" si="4"/>
        <v>-341474.88</v>
      </c>
      <c r="L56" t="s">
        <v>364</v>
      </c>
      <c r="M56">
        <v>309137.53000000003</v>
      </c>
      <c r="N56">
        <v>287982.64</v>
      </c>
      <c r="P56" t="s">
        <v>364</v>
      </c>
      <c r="Q56">
        <v>245610.65</v>
      </c>
      <c r="R56">
        <v>211452.32</v>
      </c>
      <c r="U56" t="s">
        <v>364</v>
      </c>
      <c r="V56">
        <v>182771.51</v>
      </c>
      <c r="W56">
        <v>157587.04</v>
      </c>
      <c r="Y56" t="s">
        <v>364</v>
      </c>
      <c r="Z56">
        <v>182771.51</v>
      </c>
      <c r="AA56">
        <v>157587.04</v>
      </c>
      <c r="AC56" t="s">
        <v>365</v>
      </c>
      <c r="AD56">
        <v>141219.62</v>
      </c>
      <c r="AE56">
        <v>127218.02</v>
      </c>
      <c r="AG56" t="s">
        <v>365</v>
      </c>
      <c r="AH56">
        <v>141219.62</v>
      </c>
      <c r="AI56">
        <v>127218.02</v>
      </c>
      <c r="AK56" t="s">
        <v>275</v>
      </c>
      <c r="AL56">
        <v>1155.79</v>
      </c>
      <c r="AM56">
        <v>0</v>
      </c>
      <c r="AO56" t="s">
        <v>275</v>
      </c>
      <c r="AP56">
        <v>1155.79</v>
      </c>
      <c r="AQ56">
        <v>0</v>
      </c>
      <c r="AS56" t="s">
        <v>275</v>
      </c>
      <c r="AT56">
        <v>1155.79</v>
      </c>
      <c r="AU56">
        <v>0</v>
      </c>
    </row>
    <row r="57" spans="1:47" x14ac:dyDescent="0.3">
      <c r="A57" t="s">
        <v>245</v>
      </c>
      <c r="B57" t="s">
        <v>147</v>
      </c>
      <c r="C57" t="s">
        <v>283</v>
      </c>
      <c r="D57">
        <f t="shared" si="0"/>
        <v>10208.67</v>
      </c>
      <c r="E57">
        <f t="shared" si="1"/>
        <v>4700</v>
      </c>
      <c r="F57" s="102">
        <f t="shared" si="5"/>
        <v>-416210.57</v>
      </c>
      <c r="G57" t="s">
        <v>365</v>
      </c>
      <c r="H57">
        <v>416210.57</v>
      </c>
      <c r="I57">
        <v>409933.86</v>
      </c>
      <c r="J57" s="75">
        <f t="shared" si="4"/>
        <v>-409933.86</v>
      </c>
      <c r="L57" t="s">
        <v>365</v>
      </c>
      <c r="M57">
        <v>361024.19</v>
      </c>
      <c r="N57">
        <v>342598.51</v>
      </c>
      <c r="P57" t="s">
        <v>365</v>
      </c>
      <c r="Q57">
        <v>285162.87</v>
      </c>
      <c r="R57">
        <v>256320.27</v>
      </c>
      <c r="U57" t="s">
        <v>365</v>
      </c>
      <c r="V57">
        <v>212147.31</v>
      </c>
      <c r="W57">
        <v>192485.07</v>
      </c>
      <c r="Y57" t="s">
        <v>365</v>
      </c>
      <c r="Z57">
        <v>212147.31</v>
      </c>
      <c r="AA57">
        <v>192485.07</v>
      </c>
      <c r="AC57" t="s">
        <v>366</v>
      </c>
      <c r="AD57">
        <v>141219.62</v>
      </c>
      <c r="AE57">
        <v>127218.02</v>
      </c>
      <c r="AG57" t="s">
        <v>366</v>
      </c>
      <c r="AH57">
        <v>141219.62</v>
      </c>
      <c r="AI57">
        <v>127218.02</v>
      </c>
      <c r="AK57" t="s">
        <v>367</v>
      </c>
      <c r="AO57" t="s">
        <v>367</v>
      </c>
      <c r="AS57" t="s">
        <v>367</v>
      </c>
    </row>
    <row r="58" spans="1:47" x14ac:dyDescent="0.3">
      <c r="A58" t="s">
        <v>245</v>
      </c>
      <c r="B58" t="s">
        <v>135</v>
      </c>
      <c r="C58" t="s">
        <v>284</v>
      </c>
      <c r="D58">
        <f t="shared" si="0"/>
        <v>750</v>
      </c>
      <c r="E58">
        <f t="shared" si="1"/>
        <v>0</v>
      </c>
      <c r="F58" s="102">
        <f t="shared" si="5"/>
        <v>-416210.57</v>
      </c>
      <c r="G58" t="s">
        <v>366</v>
      </c>
      <c r="H58">
        <v>416210.57</v>
      </c>
      <c r="I58">
        <v>409933.86</v>
      </c>
      <c r="J58" s="75">
        <f t="shared" si="4"/>
        <v>-409933.86</v>
      </c>
      <c r="L58" t="s">
        <v>366</v>
      </c>
      <c r="M58">
        <v>361024.19</v>
      </c>
      <c r="N58">
        <v>342598.51</v>
      </c>
      <c r="P58" t="s">
        <v>366</v>
      </c>
      <c r="Q58">
        <v>285162.87</v>
      </c>
      <c r="R58">
        <v>256320.27</v>
      </c>
      <c r="U58" t="s">
        <v>366</v>
      </c>
      <c r="V58">
        <v>212147.31</v>
      </c>
      <c r="W58">
        <v>192485.07</v>
      </c>
      <c r="Y58" t="s">
        <v>366</v>
      </c>
      <c r="Z58">
        <v>212147.31</v>
      </c>
      <c r="AA58">
        <v>192485.07</v>
      </c>
      <c r="AC58" t="s">
        <v>275</v>
      </c>
      <c r="AD58">
        <v>1155.79</v>
      </c>
      <c r="AE58">
        <v>0</v>
      </c>
      <c r="AG58" t="s">
        <v>275</v>
      </c>
      <c r="AH58">
        <v>1155.79</v>
      </c>
      <c r="AI58">
        <v>0</v>
      </c>
      <c r="AK58" t="s">
        <v>276</v>
      </c>
      <c r="AL58">
        <v>13646.23</v>
      </c>
      <c r="AM58">
        <v>4569.1400000000003</v>
      </c>
      <c r="AO58" t="s">
        <v>276</v>
      </c>
      <c r="AP58">
        <v>13646.23</v>
      </c>
      <c r="AQ58">
        <v>4569.1400000000003</v>
      </c>
      <c r="AS58" t="s">
        <v>276</v>
      </c>
      <c r="AT58">
        <v>13646.23</v>
      </c>
      <c r="AU58">
        <v>4569.1400000000003</v>
      </c>
    </row>
    <row r="59" spans="1:47" x14ac:dyDescent="0.3">
      <c r="A59" t="s">
        <v>245</v>
      </c>
      <c r="B59" t="s">
        <v>508</v>
      </c>
      <c r="C59" t="s">
        <v>137</v>
      </c>
      <c r="D59">
        <f t="shared" si="0"/>
        <v>1947</v>
      </c>
      <c r="E59">
        <f t="shared" si="1"/>
        <v>20005</v>
      </c>
      <c r="F59" s="102">
        <f t="shared" si="5"/>
        <v>0</v>
      </c>
      <c r="G59" t="s">
        <v>275</v>
      </c>
      <c r="H59">
        <v>2149.79</v>
      </c>
      <c r="I59">
        <v>0</v>
      </c>
      <c r="J59" s="75">
        <f t="shared" si="4"/>
        <v>0</v>
      </c>
      <c r="L59" t="s">
        <v>275</v>
      </c>
      <c r="M59">
        <v>2149.79</v>
      </c>
      <c r="N59">
        <v>0</v>
      </c>
      <c r="P59" t="s">
        <v>275</v>
      </c>
      <c r="Q59">
        <v>1155.79</v>
      </c>
      <c r="R59">
        <v>0</v>
      </c>
      <c r="U59" t="s">
        <v>275</v>
      </c>
      <c r="V59">
        <v>1155.79</v>
      </c>
      <c r="W59">
        <v>0</v>
      </c>
      <c r="Y59" t="s">
        <v>275</v>
      </c>
      <c r="Z59">
        <v>1155.79</v>
      </c>
      <c r="AA59">
        <v>0</v>
      </c>
      <c r="AC59" t="s">
        <v>367</v>
      </c>
      <c r="AG59" t="s">
        <v>367</v>
      </c>
      <c r="AK59" t="s">
        <v>130</v>
      </c>
      <c r="AL59">
        <v>1445.51</v>
      </c>
      <c r="AM59">
        <v>1648.81</v>
      </c>
      <c r="AO59" t="s">
        <v>130</v>
      </c>
      <c r="AP59">
        <v>1445.51</v>
      </c>
      <c r="AQ59">
        <v>1648.81</v>
      </c>
      <c r="AS59" t="s">
        <v>130</v>
      </c>
      <c r="AT59">
        <v>1445.51</v>
      </c>
      <c r="AU59">
        <v>1648.81</v>
      </c>
    </row>
    <row r="60" spans="1:47" x14ac:dyDescent="0.3">
      <c r="A60" t="s">
        <v>245</v>
      </c>
      <c r="B60" t="s">
        <v>221</v>
      </c>
      <c r="C60" t="s">
        <v>285</v>
      </c>
      <c r="D60">
        <f t="shared" si="0"/>
        <v>0</v>
      </c>
      <c r="E60">
        <f t="shared" si="1"/>
        <v>0</v>
      </c>
      <c r="F60" s="102">
        <f t="shared" si="5"/>
        <v>0</v>
      </c>
      <c r="G60" t="s">
        <v>367</v>
      </c>
      <c r="J60" s="75">
        <f t="shared" si="4"/>
        <v>0</v>
      </c>
      <c r="L60" t="s">
        <v>367</v>
      </c>
      <c r="P60" t="s">
        <v>367</v>
      </c>
      <c r="U60" t="s">
        <v>367</v>
      </c>
      <c r="Y60" t="s">
        <v>367</v>
      </c>
      <c r="AC60" t="s">
        <v>276</v>
      </c>
      <c r="AD60">
        <v>15556.7</v>
      </c>
      <c r="AE60">
        <v>13611.83</v>
      </c>
      <c r="AG60" t="s">
        <v>276</v>
      </c>
      <c r="AH60">
        <v>20590.7</v>
      </c>
      <c r="AI60">
        <v>13611.83</v>
      </c>
      <c r="AK60" t="s">
        <v>277</v>
      </c>
      <c r="AL60">
        <v>6666.12</v>
      </c>
      <c r="AM60">
        <v>8134.22</v>
      </c>
      <c r="AO60" t="s">
        <v>277</v>
      </c>
      <c r="AP60">
        <v>6666.12</v>
      </c>
      <c r="AQ60">
        <v>8134.22</v>
      </c>
      <c r="AS60" t="s">
        <v>277</v>
      </c>
      <c r="AT60">
        <v>6666.12</v>
      </c>
      <c r="AU60">
        <v>8134.22</v>
      </c>
    </row>
    <row r="61" spans="1:47" x14ac:dyDescent="0.3">
      <c r="A61" t="s">
        <v>245</v>
      </c>
      <c r="B61" t="s">
        <v>120</v>
      </c>
      <c r="C61" t="s">
        <v>120</v>
      </c>
      <c r="D61">
        <f t="shared" si="0"/>
        <v>5612.5</v>
      </c>
      <c r="E61">
        <f t="shared" si="1"/>
        <v>4882.5</v>
      </c>
      <c r="F61" s="102">
        <f t="shared" si="5"/>
        <v>0</v>
      </c>
      <c r="G61" t="s">
        <v>276</v>
      </c>
      <c r="H61">
        <v>59769.54</v>
      </c>
      <c r="I61">
        <v>63070.5</v>
      </c>
      <c r="J61" s="75">
        <f t="shared" si="4"/>
        <v>0</v>
      </c>
      <c r="L61" t="s">
        <v>276</v>
      </c>
      <c r="M61">
        <v>49940.81</v>
      </c>
      <c r="N61">
        <v>47780.88</v>
      </c>
      <c r="P61" t="s">
        <v>276</v>
      </c>
      <c r="Q61">
        <v>37101.33</v>
      </c>
      <c r="R61">
        <v>38140.82</v>
      </c>
      <c r="U61" t="s">
        <v>276</v>
      </c>
      <c r="V61">
        <v>23584.83</v>
      </c>
      <c r="W61">
        <v>24359.599999999999</v>
      </c>
      <c r="Y61" t="s">
        <v>276</v>
      </c>
      <c r="Z61">
        <v>23584.83</v>
      </c>
      <c r="AA61">
        <v>24359.599999999999</v>
      </c>
      <c r="AC61" t="s">
        <v>130</v>
      </c>
      <c r="AD61">
        <v>8878.9599999999991</v>
      </c>
      <c r="AE61">
        <v>1648.81</v>
      </c>
      <c r="AG61" t="s">
        <v>130</v>
      </c>
      <c r="AH61">
        <v>4861.29</v>
      </c>
      <c r="AI61">
        <v>1648.81</v>
      </c>
      <c r="AK61" t="s">
        <v>278</v>
      </c>
      <c r="AL61">
        <v>4768.75</v>
      </c>
      <c r="AM61">
        <v>3014.75</v>
      </c>
      <c r="AO61" t="s">
        <v>278</v>
      </c>
      <c r="AP61">
        <v>4768.75</v>
      </c>
      <c r="AQ61">
        <v>3014.75</v>
      </c>
      <c r="AS61" t="s">
        <v>278</v>
      </c>
      <c r="AT61">
        <v>4768.75</v>
      </c>
      <c r="AU61">
        <v>3014.75</v>
      </c>
    </row>
    <row r="62" spans="1:47" x14ac:dyDescent="0.3">
      <c r="A62" t="s">
        <v>245</v>
      </c>
      <c r="B62" t="s">
        <v>121</v>
      </c>
      <c r="C62" t="s">
        <v>121</v>
      </c>
      <c r="D62">
        <f t="shared" si="0"/>
        <v>1879.63</v>
      </c>
      <c r="E62">
        <f t="shared" si="1"/>
        <v>3233.3</v>
      </c>
      <c r="F62" s="102">
        <f t="shared" si="5"/>
        <v>0</v>
      </c>
      <c r="G62" t="s">
        <v>130</v>
      </c>
      <c r="H62">
        <v>22449.86</v>
      </c>
      <c r="I62">
        <v>17966.91</v>
      </c>
      <c r="J62" s="75">
        <f t="shared" si="4"/>
        <v>0</v>
      </c>
      <c r="L62" t="s">
        <v>130</v>
      </c>
      <c r="M62">
        <v>13683.94</v>
      </c>
      <c r="N62">
        <v>16966.91</v>
      </c>
      <c r="P62" t="s">
        <v>130</v>
      </c>
      <c r="Q62">
        <v>13683.94</v>
      </c>
      <c r="R62">
        <v>11627.76</v>
      </c>
      <c r="U62" t="s">
        <v>130</v>
      </c>
      <c r="V62">
        <v>11668.14</v>
      </c>
      <c r="W62">
        <v>8779.08</v>
      </c>
      <c r="Y62" t="s">
        <v>130</v>
      </c>
      <c r="Z62">
        <v>11668.14</v>
      </c>
      <c r="AA62">
        <v>8779.08</v>
      </c>
      <c r="AC62" t="s">
        <v>277</v>
      </c>
      <c r="AD62">
        <v>14417.87</v>
      </c>
      <c r="AE62">
        <v>42559.48</v>
      </c>
      <c r="AG62" t="s">
        <v>277</v>
      </c>
      <c r="AH62">
        <v>14417.87</v>
      </c>
      <c r="AI62">
        <v>42559.48</v>
      </c>
      <c r="AK62" t="s">
        <v>279</v>
      </c>
      <c r="AL62">
        <v>436.67</v>
      </c>
      <c r="AM62">
        <v>0</v>
      </c>
      <c r="AO62" t="s">
        <v>279</v>
      </c>
      <c r="AP62">
        <v>436.67</v>
      </c>
      <c r="AQ62">
        <v>0</v>
      </c>
      <c r="AS62" t="s">
        <v>279</v>
      </c>
      <c r="AT62">
        <v>436.67</v>
      </c>
      <c r="AU62">
        <v>0</v>
      </c>
    </row>
    <row r="63" spans="1:47" x14ac:dyDescent="0.3">
      <c r="A63" t="s">
        <v>245</v>
      </c>
      <c r="B63" t="s">
        <v>129</v>
      </c>
      <c r="C63" t="s">
        <v>286</v>
      </c>
      <c r="D63">
        <f t="shared" si="0"/>
        <v>2189.88</v>
      </c>
      <c r="E63">
        <f t="shared" si="1"/>
        <v>9153.24</v>
      </c>
      <c r="F63" s="102">
        <f t="shared" si="5"/>
        <v>0</v>
      </c>
      <c r="G63" t="s">
        <v>277</v>
      </c>
      <c r="H63">
        <v>158707.01</v>
      </c>
      <c r="I63">
        <v>179607.28</v>
      </c>
      <c r="J63" s="75">
        <f t="shared" si="4"/>
        <v>0</v>
      </c>
      <c r="L63" t="s">
        <v>277</v>
      </c>
      <c r="M63">
        <v>90729.21</v>
      </c>
      <c r="N63">
        <v>111993.01</v>
      </c>
      <c r="P63" t="s">
        <v>277</v>
      </c>
      <c r="Q63">
        <v>51156.56</v>
      </c>
      <c r="R63">
        <v>101329.57</v>
      </c>
      <c r="U63" t="s">
        <v>277</v>
      </c>
      <c r="V63">
        <v>37015.050000000003</v>
      </c>
      <c r="W63">
        <v>68524.27</v>
      </c>
      <c r="Y63" t="s">
        <v>277</v>
      </c>
      <c r="Z63">
        <v>37015.050000000003</v>
      </c>
      <c r="AA63">
        <v>68524.27</v>
      </c>
      <c r="AC63" t="s">
        <v>278</v>
      </c>
      <c r="AD63">
        <v>12166.25</v>
      </c>
      <c r="AE63">
        <v>7096</v>
      </c>
      <c r="AG63" t="s">
        <v>278</v>
      </c>
      <c r="AH63">
        <v>12166.25</v>
      </c>
      <c r="AI63">
        <v>7096</v>
      </c>
      <c r="AK63" t="s">
        <v>123</v>
      </c>
      <c r="AL63">
        <v>0</v>
      </c>
      <c r="AM63">
        <v>740</v>
      </c>
      <c r="AO63" t="s">
        <v>123</v>
      </c>
      <c r="AP63">
        <v>0</v>
      </c>
      <c r="AQ63">
        <v>740</v>
      </c>
      <c r="AS63" t="s">
        <v>123</v>
      </c>
      <c r="AT63">
        <v>0</v>
      </c>
      <c r="AU63">
        <v>740</v>
      </c>
    </row>
    <row r="64" spans="1:47" x14ac:dyDescent="0.3">
      <c r="A64" t="s">
        <v>245</v>
      </c>
      <c r="B64" t="s">
        <v>143</v>
      </c>
      <c r="C64" t="s">
        <v>287</v>
      </c>
      <c r="D64">
        <f t="shared" si="0"/>
        <v>0</v>
      </c>
      <c r="E64">
        <f t="shared" si="1"/>
        <v>1500</v>
      </c>
      <c r="F64" s="102">
        <f t="shared" si="5"/>
        <v>0</v>
      </c>
      <c r="G64" t="s">
        <v>121</v>
      </c>
      <c r="H64">
        <v>1879.63</v>
      </c>
      <c r="I64">
        <v>3233.3</v>
      </c>
      <c r="J64" s="75">
        <f t="shared" si="4"/>
        <v>0</v>
      </c>
      <c r="L64" t="s">
        <v>121</v>
      </c>
      <c r="M64">
        <v>1064.53</v>
      </c>
      <c r="N64">
        <v>3233.3</v>
      </c>
      <c r="P64" t="s">
        <v>121</v>
      </c>
      <c r="Q64">
        <v>222.39</v>
      </c>
      <c r="R64">
        <v>3233.3</v>
      </c>
      <c r="U64" t="s">
        <v>121</v>
      </c>
      <c r="V64">
        <v>0</v>
      </c>
      <c r="W64">
        <v>2153.7199999999998</v>
      </c>
      <c r="Y64" t="s">
        <v>121</v>
      </c>
      <c r="Z64">
        <v>0</v>
      </c>
      <c r="AA64">
        <v>2153.7199999999998</v>
      </c>
      <c r="AC64" t="s">
        <v>279</v>
      </c>
      <c r="AD64">
        <v>5163.72</v>
      </c>
      <c r="AE64">
        <v>3075</v>
      </c>
      <c r="AG64" t="s">
        <v>279</v>
      </c>
      <c r="AH64">
        <v>5163.72</v>
      </c>
      <c r="AI64">
        <v>3075</v>
      </c>
      <c r="AK64" t="s">
        <v>280</v>
      </c>
      <c r="AL64">
        <v>805.44</v>
      </c>
      <c r="AM64">
        <v>4758</v>
      </c>
      <c r="AO64" t="s">
        <v>280</v>
      </c>
      <c r="AP64">
        <v>805.44</v>
      </c>
      <c r="AQ64">
        <v>4758</v>
      </c>
      <c r="AS64" t="s">
        <v>280</v>
      </c>
      <c r="AT64">
        <v>805.44</v>
      </c>
      <c r="AU64">
        <v>4758</v>
      </c>
    </row>
    <row r="65" spans="1:47" x14ac:dyDescent="0.3">
      <c r="A65" t="s">
        <v>245</v>
      </c>
      <c r="B65" t="s">
        <v>119</v>
      </c>
      <c r="C65" t="s">
        <v>119</v>
      </c>
      <c r="D65">
        <f t="shared" si="0"/>
        <v>29000</v>
      </c>
      <c r="E65">
        <f t="shared" si="1"/>
        <v>28099.22</v>
      </c>
      <c r="F65" s="102">
        <f t="shared" si="5"/>
        <v>0</v>
      </c>
      <c r="G65" t="s">
        <v>278</v>
      </c>
      <c r="H65">
        <v>34322.5</v>
      </c>
      <c r="I65">
        <v>24714.75</v>
      </c>
      <c r="J65" s="75">
        <f t="shared" si="4"/>
        <v>0</v>
      </c>
      <c r="L65" t="s">
        <v>278</v>
      </c>
      <c r="M65">
        <v>27405</v>
      </c>
      <c r="N65">
        <v>18879.75</v>
      </c>
      <c r="P65" t="s">
        <v>278</v>
      </c>
      <c r="Q65">
        <v>20926.25</v>
      </c>
      <c r="R65">
        <v>13511</v>
      </c>
      <c r="U65" t="s">
        <v>278</v>
      </c>
      <c r="V65">
        <v>13806.25</v>
      </c>
      <c r="W65">
        <v>9738.5</v>
      </c>
      <c r="Y65" t="s">
        <v>278</v>
      </c>
      <c r="Z65">
        <v>13806.25</v>
      </c>
      <c r="AA65">
        <v>9738.5</v>
      </c>
      <c r="AC65" t="s">
        <v>123</v>
      </c>
      <c r="AD65">
        <v>99.98</v>
      </c>
      <c r="AE65">
        <v>740</v>
      </c>
      <c r="AG65" t="s">
        <v>123</v>
      </c>
      <c r="AH65">
        <v>99.98</v>
      </c>
      <c r="AI65">
        <v>740</v>
      </c>
      <c r="AK65" t="s">
        <v>140</v>
      </c>
      <c r="AL65">
        <v>11064.04</v>
      </c>
      <c r="AM65">
        <v>10137.16</v>
      </c>
      <c r="AO65" t="s">
        <v>140</v>
      </c>
      <c r="AP65">
        <v>11064.04</v>
      </c>
      <c r="AQ65">
        <v>10137.16</v>
      </c>
      <c r="AS65" t="s">
        <v>140</v>
      </c>
      <c r="AT65">
        <v>11064.04</v>
      </c>
      <c r="AU65">
        <v>10137.16</v>
      </c>
    </row>
    <row r="66" spans="1:47" x14ac:dyDescent="0.3">
      <c r="A66" t="s">
        <v>245</v>
      </c>
      <c r="B66" t="s">
        <v>141</v>
      </c>
      <c r="C66" t="s">
        <v>141</v>
      </c>
      <c r="D66">
        <f t="shared" si="0"/>
        <v>19572.259999999998</v>
      </c>
      <c r="E66">
        <f t="shared" si="1"/>
        <v>17650</v>
      </c>
      <c r="F66" s="102">
        <f t="shared" si="5"/>
        <v>0</v>
      </c>
      <c r="G66" t="s">
        <v>279</v>
      </c>
      <c r="H66">
        <v>26658.720000000001</v>
      </c>
      <c r="I66">
        <v>10007.83</v>
      </c>
      <c r="J66" s="75">
        <f t="shared" si="4"/>
        <v>0</v>
      </c>
      <c r="L66" t="s">
        <v>279</v>
      </c>
      <c r="M66">
        <v>22338.720000000001</v>
      </c>
      <c r="N66">
        <v>9900</v>
      </c>
      <c r="P66" t="s">
        <v>279</v>
      </c>
      <c r="Q66">
        <v>18563.72</v>
      </c>
      <c r="R66">
        <v>9900</v>
      </c>
      <c r="U66" t="s">
        <v>279</v>
      </c>
      <c r="V66">
        <v>9713.7199999999993</v>
      </c>
      <c r="W66">
        <v>6150</v>
      </c>
      <c r="Y66" t="s">
        <v>279</v>
      </c>
      <c r="Z66">
        <v>9713.7199999999993</v>
      </c>
      <c r="AA66">
        <v>6150</v>
      </c>
      <c r="AC66" t="s">
        <v>280</v>
      </c>
      <c r="AD66">
        <v>1610.88</v>
      </c>
      <c r="AE66">
        <v>8372</v>
      </c>
      <c r="AG66" t="s">
        <v>280</v>
      </c>
      <c r="AH66">
        <v>1610.88</v>
      </c>
      <c r="AI66">
        <v>8372</v>
      </c>
      <c r="AK66" t="s">
        <v>489</v>
      </c>
      <c r="AL66">
        <v>6393.11</v>
      </c>
      <c r="AM66">
        <v>618</v>
      </c>
      <c r="AO66" t="s">
        <v>489</v>
      </c>
      <c r="AP66">
        <v>6393.11</v>
      </c>
      <c r="AQ66">
        <v>618</v>
      </c>
      <c r="AS66" t="s">
        <v>489</v>
      </c>
      <c r="AT66">
        <v>6393.11</v>
      </c>
      <c r="AU66">
        <v>618</v>
      </c>
    </row>
    <row r="67" spans="1:47" x14ac:dyDescent="0.3">
      <c r="A67" t="s">
        <v>245</v>
      </c>
      <c r="B67" t="s">
        <v>134</v>
      </c>
      <c r="C67" t="s">
        <v>288</v>
      </c>
      <c r="D67">
        <f t="shared" ref="D67:D120" si="6">SUMIFS(H:H,G:G,C67)</f>
        <v>477.24</v>
      </c>
      <c r="E67">
        <f t="shared" ref="E67:E120" si="7">SUMIFS(I:I,G:G,C67)</f>
        <v>567.63</v>
      </c>
      <c r="F67" s="102">
        <f t="shared" si="5"/>
        <v>0</v>
      </c>
      <c r="G67" t="s">
        <v>118</v>
      </c>
      <c r="H67">
        <v>0</v>
      </c>
      <c r="I67">
        <v>3014.2</v>
      </c>
      <c r="J67" s="75">
        <f t="shared" si="4"/>
        <v>0</v>
      </c>
      <c r="L67" t="s">
        <v>123</v>
      </c>
      <c r="M67">
        <v>3600.76</v>
      </c>
      <c r="N67">
        <v>1259.96</v>
      </c>
      <c r="P67" t="s">
        <v>123</v>
      </c>
      <c r="Q67">
        <v>99.98</v>
      </c>
      <c r="R67">
        <v>1259.96</v>
      </c>
      <c r="U67" t="s">
        <v>123</v>
      </c>
      <c r="V67">
        <v>99.98</v>
      </c>
      <c r="W67">
        <v>740</v>
      </c>
      <c r="Y67" t="s">
        <v>123</v>
      </c>
      <c r="Z67">
        <v>99.98</v>
      </c>
      <c r="AA67">
        <v>740</v>
      </c>
      <c r="AC67" t="s">
        <v>140</v>
      </c>
      <c r="AD67">
        <v>15068.25</v>
      </c>
      <c r="AE67">
        <v>14927.36</v>
      </c>
      <c r="AG67" t="s">
        <v>140</v>
      </c>
      <c r="AH67">
        <v>15068.25</v>
      </c>
      <c r="AI67">
        <v>14927.36</v>
      </c>
      <c r="AK67" t="s">
        <v>283</v>
      </c>
      <c r="AL67">
        <v>2000</v>
      </c>
      <c r="AM67">
        <v>900</v>
      </c>
      <c r="AO67" t="s">
        <v>283</v>
      </c>
      <c r="AP67">
        <v>2000</v>
      </c>
      <c r="AQ67">
        <v>900</v>
      </c>
      <c r="AS67" t="s">
        <v>283</v>
      </c>
      <c r="AT67">
        <v>2000</v>
      </c>
      <c r="AU67">
        <v>900</v>
      </c>
    </row>
    <row r="68" spans="1:47" x14ac:dyDescent="0.3">
      <c r="A68" t="s">
        <v>245</v>
      </c>
      <c r="B68" t="s">
        <v>220</v>
      </c>
      <c r="C68" t="s">
        <v>290</v>
      </c>
      <c r="D68">
        <f t="shared" si="6"/>
        <v>500</v>
      </c>
      <c r="E68">
        <f t="shared" si="7"/>
        <v>3605</v>
      </c>
      <c r="F68" s="102">
        <f t="shared" si="5"/>
        <v>0</v>
      </c>
      <c r="G68" t="s">
        <v>123</v>
      </c>
      <c r="H68">
        <v>3942.73</v>
      </c>
      <c r="I68">
        <v>2907.42</v>
      </c>
      <c r="J68" s="75">
        <f t="shared" ref="J68:J99" si="8">SUMIFS(E:E,C:C,G68)-I68</f>
        <v>0</v>
      </c>
      <c r="L68" t="s">
        <v>280</v>
      </c>
      <c r="M68">
        <v>4027.2</v>
      </c>
      <c r="N68">
        <v>13568.04</v>
      </c>
      <c r="P68" t="s">
        <v>280</v>
      </c>
      <c r="Q68">
        <v>3221.76</v>
      </c>
      <c r="R68">
        <v>12844</v>
      </c>
      <c r="U68" t="s">
        <v>280</v>
      </c>
      <c r="V68">
        <v>2416.3200000000002</v>
      </c>
      <c r="W68">
        <v>12844</v>
      </c>
      <c r="Y68" t="s">
        <v>280</v>
      </c>
      <c r="Z68">
        <v>2416.3200000000002</v>
      </c>
      <c r="AA68">
        <v>12844</v>
      </c>
      <c r="AC68" t="s">
        <v>489</v>
      </c>
      <c r="AD68">
        <v>12496.06</v>
      </c>
      <c r="AE68">
        <v>618</v>
      </c>
      <c r="AG68" t="s">
        <v>489</v>
      </c>
      <c r="AH68">
        <v>12496.06</v>
      </c>
      <c r="AI68">
        <v>618</v>
      </c>
      <c r="AK68" t="s">
        <v>281</v>
      </c>
      <c r="AL68">
        <v>3547.62</v>
      </c>
      <c r="AM68">
        <v>1500</v>
      </c>
      <c r="AO68" t="s">
        <v>281</v>
      </c>
      <c r="AP68">
        <v>3547.62</v>
      </c>
      <c r="AQ68">
        <v>1500</v>
      </c>
      <c r="AS68" t="s">
        <v>281</v>
      </c>
      <c r="AT68">
        <v>3547.62</v>
      </c>
      <c r="AU68">
        <v>1500</v>
      </c>
    </row>
    <row r="69" spans="1:47" x14ac:dyDescent="0.3">
      <c r="A69" t="s">
        <v>245</v>
      </c>
      <c r="B69" t="s">
        <v>215</v>
      </c>
      <c r="C69" t="s">
        <v>291</v>
      </c>
      <c r="D69">
        <f t="shared" si="6"/>
        <v>4270</v>
      </c>
      <c r="E69">
        <f t="shared" si="7"/>
        <v>3672.2</v>
      </c>
      <c r="F69" s="102">
        <f t="shared" ref="F69:F100" si="9">SUMIFS(D:D,C:C,G69)-H69</f>
        <v>0</v>
      </c>
      <c r="G69" t="s">
        <v>280</v>
      </c>
      <c r="H69">
        <v>4027.2</v>
      </c>
      <c r="I69">
        <v>14442.08</v>
      </c>
      <c r="J69" s="75">
        <f t="shared" si="8"/>
        <v>0</v>
      </c>
      <c r="L69" t="s">
        <v>140</v>
      </c>
      <c r="M69">
        <v>23191.919999999998</v>
      </c>
      <c r="N69">
        <v>43001.95</v>
      </c>
      <c r="P69" t="s">
        <v>140</v>
      </c>
      <c r="Q69">
        <v>23517.919999999998</v>
      </c>
      <c r="R69">
        <v>25079.96</v>
      </c>
      <c r="U69" t="s">
        <v>140</v>
      </c>
      <c r="V69">
        <v>17358.27</v>
      </c>
      <c r="W69">
        <v>19783.900000000001</v>
      </c>
      <c r="Y69" t="s">
        <v>140</v>
      </c>
      <c r="Z69">
        <v>17358.27</v>
      </c>
      <c r="AA69">
        <v>19783.900000000001</v>
      </c>
      <c r="AC69" t="s">
        <v>283</v>
      </c>
      <c r="AD69">
        <v>2000</v>
      </c>
      <c r="AE69">
        <v>1200</v>
      </c>
      <c r="AG69" t="s">
        <v>283</v>
      </c>
      <c r="AH69">
        <v>2000</v>
      </c>
      <c r="AI69">
        <v>1200</v>
      </c>
      <c r="AK69" t="s">
        <v>137</v>
      </c>
      <c r="AL69">
        <v>500</v>
      </c>
      <c r="AM69">
        <v>0</v>
      </c>
      <c r="AO69" t="s">
        <v>137</v>
      </c>
      <c r="AP69">
        <v>500</v>
      </c>
      <c r="AQ69">
        <v>0</v>
      </c>
      <c r="AS69" t="s">
        <v>137</v>
      </c>
      <c r="AT69">
        <v>500</v>
      </c>
      <c r="AU69">
        <v>0</v>
      </c>
    </row>
    <row r="70" spans="1:47" x14ac:dyDescent="0.3">
      <c r="A70" t="s">
        <v>9</v>
      </c>
      <c r="B70" t="s">
        <v>292</v>
      </c>
      <c r="D70">
        <f t="shared" si="6"/>
        <v>0</v>
      </c>
      <c r="E70">
        <f t="shared" si="7"/>
        <v>0</v>
      </c>
      <c r="F70" s="102">
        <f t="shared" si="9"/>
        <v>0</v>
      </c>
      <c r="G70" t="s">
        <v>140</v>
      </c>
      <c r="H70">
        <v>26766.58</v>
      </c>
      <c r="I70">
        <v>49008.98</v>
      </c>
      <c r="J70" s="75">
        <f t="shared" si="8"/>
        <v>0</v>
      </c>
      <c r="L70" t="s">
        <v>489</v>
      </c>
      <c r="M70">
        <v>15484.38</v>
      </c>
      <c r="N70">
        <v>634</v>
      </c>
      <c r="P70" t="s">
        <v>489</v>
      </c>
      <c r="Q70">
        <v>14690.4</v>
      </c>
      <c r="R70">
        <v>634</v>
      </c>
      <c r="U70" t="s">
        <v>489</v>
      </c>
      <c r="V70">
        <v>13484.8</v>
      </c>
      <c r="W70">
        <v>618</v>
      </c>
      <c r="Y70" t="s">
        <v>489</v>
      </c>
      <c r="Z70">
        <v>13484.8</v>
      </c>
      <c r="AA70">
        <v>618</v>
      </c>
      <c r="AC70" t="s">
        <v>284</v>
      </c>
      <c r="AD70">
        <v>750</v>
      </c>
      <c r="AE70">
        <v>0</v>
      </c>
      <c r="AG70" t="s">
        <v>284</v>
      </c>
      <c r="AH70">
        <v>750</v>
      </c>
      <c r="AI70">
        <v>0</v>
      </c>
      <c r="AK70" t="s">
        <v>291</v>
      </c>
      <c r="AL70">
        <v>2210</v>
      </c>
      <c r="AM70">
        <v>0</v>
      </c>
      <c r="AO70" t="s">
        <v>291</v>
      </c>
      <c r="AP70">
        <v>2210</v>
      </c>
      <c r="AQ70">
        <v>0</v>
      </c>
      <c r="AS70" t="s">
        <v>291</v>
      </c>
      <c r="AT70">
        <v>2210</v>
      </c>
      <c r="AU70">
        <v>0</v>
      </c>
    </row>
    <row r="71" spans="1:47" x14ac:dyDescent="0.3">
      <c r="A71" t="s">
        <v>9</v>
      </c>
      <c r="B71" t="s">
        <v>293</v>
      </c>
      <c r="D71">
        <f t="shared" si="6"/>
        <v>0</v>
      </c>
      <c r="E71">
        <f t="shared" si="7"/>
        <v>0</v>
      </c>
      <c r="F71" s="102">
        <f t="shared" si="9"/>
        <v>0</v>
      </c>
      <c r="G71" t="s">
        <v>489</v>
      </c>
      <c r="H71">
        <v>17444.900000000001</v>
      </c>
      <c r="I71">
        <v>724</v>
      </c>
      <c r="J71" s="75">
        <f t="shared" si="8"/>
        <v>0</v>
      </c>
      <c r="L71" t="s">
        <v>283</v>
      </c>
      <c r="M71">
        <v>6850</v>
      </c>
      <c r="N71">
        <v>4700</v>
      </c>
      <c r="P71" t="s">
        <v>283</v>
      </c>
      <c r="Q71">
        <v>6550</v>
      </c>
      <c r="R71">
        <v>2400</v>
      </c>
      <c r="U71" t="s">
        <v>283</v>
      </c>
      <c r="V71">
        <v>3250</v>
      </c>
      <c r="W71">
        <v>1200</v>
      </c>
      <c r="Y71" t="s">
        <v>283</v>
      </c>
      <c r="Z71">
        <v>3250</v>
      </c>
      <c r="AA71">
        <v>1200</v>
      </c>
      <c r="AC71" t="s">
        <v>281</v>
      </c>
      <c r="AD71">
        <v>11755.55</v>
      </c>
      <c r="AE71">
        <v>3900</v>
      </c>
      <c r="AG71" t="s">
        <v>281</v>
      </c>
      <c r="AH71">
        <v>5047.62</v>
      </c>
      <c r="AI71">
        <v>3900</v>
      </c>
      <c r="AK71" t="s">
        <v>290</v>
      </c>
      <c r="AL71">
        <v>500</v>
      </c>
      <c r="AM71">
        <v>0</v>
      </c>
      <c r="AO71" t="s">
        <v>290</v>
      </c>
      <c r="AP71">
        <v>500</v>
      </c>
      <c r="AQ71">
        <v>0</v>
      </c>
      <c r="AS71" t="s">
        <v>290</v>
      </c>
      <c r="AT71">
        <v>500</v>
      </c>
      <c r="AU71">
        <v>0</v>
      </c>
    </row>
    <row r="72" spans="1:47" x14ac:dyDescent="0.3">
      <c r="A72" t="s">
        <v>9</v>
      </c>
      <c r="B72" t="s">
        <v>294</v>
      </c>
      <c r="D72">
        <f t="shared" si="6"/>
        <v>0</v>
      </c>
      <c r="E72">
        <f t="shared" si="7"/>
        <v>0</v>
      </c>
      <c r="F72" s="102">
        <f t="shared" si="9"/>
        <v>0</v>
      </c>
      <c r="G72" t="s">
        <v>283</v>
      </c>
      <c r="H72">
        <v>10208.67</v>
      </c>
      <c r="I72">
        <v>4700</v>
      </c>
      <c r="J72" s="75">
        <f t="shared" si="8"/>
        <v>0</v>
      </c>
      <c r="L72" t="s">
        <v>284</v>
      </c>
      <c r="M72">
        <v>750</v>
      </c>
      <c r="N72">
        <v>0</v>
      </c>
      <c r="P72" t="s">
        <v>284</v>
      </c>
      <c r="Q72">
        <v>750</v>
      </c>
      <c r="R72">
        <v>0</v>
      </c>
      <c r="U72" t="s">
        <v>284</v>
      </c>
      <c r="V72">
        <v>750</v>
      </c>
      <c r="W72">
        <v>0</v>
      </c>
      <c r="Y72" t="s">
        <v>284</v>
      </c>
      <c r="Z72">
        <v>750</v>
      </c>
      <c r="AA72">
        <v>0</v>
      </c>
      <c r="AC72" t="s">
        <v>137</v>
      </c>
      <c r="AD72">
        <v>500</v>
      </c>
      <c r="AE72">
        <v>14000</v>
      </c>
      <c r="AG72" t="s">
        <v>137</v>
      </c>
      <c r="AH72">
        <v>500</v>
      </c>
      <c r="AI72">
        <v>14000</v>
      </c>
      <c r="AK72" t="s">
        <v>282</v>
      </c>
      <c r="AL72">
        <v>-29.79</v>
      </c>
      <c r="AM72">
        <v>0</v>
      </c>
      <c r="AO72" t="s">
        <v>282</v>
      </c>
      <c r="AP72">
        <v>-29.79</v>
      </c>
      <c r="AQ72">
        <v>0</v>
      </c>
      <c r="AS72" t="s">
        <v>282</v>
      </c>
      <c r="AT72">
        <v>-29.79</v>
      </c>
      <c r="AU72">
        <v>0</v>
      </c>
    </row>
    <row r="73" spans="1:47" x14ac:dyDescent="0.3">
      <c r="A73" t="s">
        <v>9</v>
      </c>
      <c r="B73" t="s">
        <v>295</v>
      </c>
      <c r="D73">
        <f t="shared" si="6"/>
        <v>0</v>
      </c>
      <c r="E73">
        <f t="shared" si="7"/>
        <v>0</v>
      </c>
      <c r="F73" s="102">
        <f t="shared" si="9"/>
        <v>0</v>
      </c>
      <c r="G73" t="s">
        <v>284</v>
      </c>
      <c r="H73">
        <v>750</v>
      </c>
      <c r="I73">
        <v>0</v>
      </c>
      <c r="J73" s="75">
        <f t="shared" si="8"/>
        <v>0</v>
      </c>
      <c r="L73" t="s">
        <v>281</v>
      </c>
      <c r="M73">
        <v>15047.58</v>
      </c>
      <c r="N73">
        <v>7550</v>
      </c>
      <c r="P73" t="s">
        <v>281</v>
      </c>
      <c r="Q73">
        <v>15047.58</v>
      </c>
      <c r="R73">
        <v>5400</v>
      </c>
      <c r="U73" t="s">
        <v>281</v>
      </c>
      <c r="V73">
        <v>18525.63</v>
      </c>
      <c r="W73">
        <v>3900</v>
      </c>
      <c r="Y73" t="s">
        <v>281</v>
      </c>
      <c r="Z73">
        <v>18525.63</v>
      </c>
      <c r="AA73">
        <v>3900</v>
      </c>
      <c r="AC73" t="s">
        <v>291</v>
      </c>
      <c r="AD73">
        <v>2760</v>
      </c>
      <c r="AE73">
        <v>977.53</v>
      </c>
      <c r="AG73" t="s">
        <v>291</v>
      </c>
      <c r="AH73">
        <v>2760</v>
      </c>
      <c r="AI73">
        <v>977.53</v>
      </c>
      <c r="AK73" t="s">
        <v>286</v>
      </c>
      <c r="AL73">
        <v>231</v>
      </c>
      <c r="AM73">
        <v>240</v>
      </c>
      <c r="AO73" t="s">
        <v>286</v>
      </c>
      <c r="AP73">
        <v>231</v>
      </c>
      <c r="AQ73">
        <v>240</v>
      </c>
      <c r="AS73" t="s">
        <v>286</v>
      </c>
      <c r="AT73">
        <v>231</v>
      </c>
      <c r="AU73">
        <v>240</v>
      </c>
    </row>
    <row r="74" spans="1:47" x14ac:dyDescent="0.3">
      <c r="A74" t="s">
        <v>253</v>
      </c>
      <c r="B74" t="s">
        <v>26</v>
      </c>
      <c r="C74" t="s">
        <v>296</v>
      </c>
      <c r="D74">
        <f t="shared" si="6"/>
        <v>7695</v>
      </c>
      <c r="E74">
        <f t="shared" si="7"/>
        <v>6600</v>
      </c>
      <c r="F74" s="102">
        <f t="shared" si="9"/>
        <v>0</v>
      </c>
      <c r="G74" t="s">
        <v>281</v>
      </c>
      <c r="H74">
        <v>18047.580000000002</v>
      </c>
      <c r="I74">
        <v>7550</v>
      </c>
      <c r="J74" s="75">
        <f t="shared" si="8"/>
        <v>0</v>
      </c>
      <c r="L74" t="s">
        <v>137</v>
      </c>
      <c r="M74">
        <v>1947</v>
      </c>
      <c r="N74">
        <v>15880</v>
      </c>
      <c r="P74" t="s">
        <v>137</v>
      </c>
      <c r="Q74">
        <v>1947</v>
      </c>
      <c r="R74">
        <v>15880</v>
      </c>
      <c r="U74" t="s">
        <v>137</v>
      </c>
      <c r="V74">
        <v>1136</v>
      </c>
      <c r="W74">
        <v>14000</v>
      </c>
      <c r="Y74" t="s">
        <v>137</v>
      </c>
      <c r="Z74">
        <v>1136</v>
      </c>
      <c r="AA74">
        <v>14000</v>
      </c>
      <c r="AC74" t="s">
        <v>290</v>
      </c>
      <c r="AD74">
        <v>500</v>
      </c>
      <c r="AE74">
        <v>0</v>
      </c>
      <c r="AG74" t="s">
        <v>290</v>
      </c>
      <c r="AH74">
        <v>500</v>
      </c>
      <c r="AI74">
        <v>0</v>
      </c>
      <c r="AK74" t="s">
        <v>131</v>
      </c>
      <c r="AL74">
        <v>4000</v>
      </c>
      <c r="AM74">
        <v>4000</v>
      </c>
      <c r="AO74" t="s">
        <v>131</v>
      </c>
      <c r="AP74">
        <v>4000</v>
      </c>
      <c r="AQ74">
        <v>4000</v>
      </c>
      <c r="AS74" t="s">
        <v>131</v>
      </c>
      <c r="AT74">
        <v>4000</v>
      </c>
      <c r="AU74">
        <v>4000</v>
      </c>
    </row>
    <row r="75" spans="1:47" x14ac:dyDescent="0.3">
      <c r="A75" t="s">
        <v>253</v>
      </c>
      <c r="B75" t="s">
        <v>27</v>
      </c>
      <c r="C75" t="s">
        <v>27</v>
      </c>
      <c r="D75">
        <f t="shared" si="6"/>
        <v>0</v>
      </c>
      <c r="E75">
        <f t="shared" si="7"/>
        <v>0</v>
      </c>
      <c r="F75" s="102">
        <f t="shared" si="9"/>
        <v>0</v>
      </c>
      <c r="G75" t="s">
        <v>137</v>
      </c>
      <c r="H75">
        <v>1947</v>
      </c>
      <c r="I75">
        <v>20005</v>
      </c>
      <c r="J75" s="75">
        <f t="shared" si="8"/>
        <v>0</v>
      </c>
      <c r="L75" t="s">
        <v>291</v>
      </c>
      <c r="M75">
        <v>3955</v>
      </c>
      <c r="N75">
        <v>1115.5</v>
      </c>
      <c r="P75" t="s">
        <v>291</v>
      </c>
      <c r="Q75">
        <v>3640</v>
      </c>
      <c r="R75">
        <v>1069.51</v>
      </c>
      <c r="U75" t="s">
        <v>291</v>
      </c>
      <c r="V75">
        <v>3250</v>
      </c>
      <c r="W75">
        <v>1023.52</v>
      </c>
      <c r="Y75" t="s">
        <v>291</v>
      </c>
      <c r="Z75">
        <v>3250</v>
      </c>
      <c r="AA75">
        <v>1023.52</v>
      </c>
      <c r="AC75" t="s">
        <v>282</v>
      </c>
      <c r="AD75">
        <v>-29.79</v>
      </c>
      <c r="AE75">
        <v>0</v>
      </c>
      <c r="AG75" t="s">
        <v>282</v>
      </c>
      <c r="AH75">
        <v>-29.79</v>
      </c>
      <c r="AI75">
        <v>0</v>
      </c>
      <c r="AK75" t="s">
        <v>119</v>
      </c>
      <c r="AL75">
        <v>925</v>
      </c>
      <c r="AM75">
        <v>0</v>
      </c>
      <c r="AO75" t="s">
        <v>119</v>
      </c>
      <c r="AP75">
        <v>925</v>
      </c>
      <c r="AQ75">
        <v>0</v>
      </c>
      <c r="AS75" t="s">
        <v>119</v>
      </c>
      <c r="AT75">
        <v>925</v>
      </c>
      <c r="AU75">
        <v>0</v>
      </c>
    </row>
    <row r="76" spans="1:47" x14ac:dyDescent="0.3">
      <c r="A76" t="s">
        <v>297</v>
      </c>
      <c r="B76" t="s">
        <v>71</v>
      </c>
      <c r="C76" t="s">
        <v>298</v>
      </c>
      <c r="D76">
        <f t="shared" si="6"/>
        <v>25211.22</v>
      </c>
      <c r="E76">
        <f t="shared" si="7"/>
        <v>26599.9</v>
      </c>
      <c r="F76" s="102">
        <f t="shared" si="9"/>
        <v>0</v>
      </c>
      <c r="G76" t="s">
        <v>291</v>
      </c>
      <c r="H76">
        <v>4270</v>
      </c>
      <c r="I76">
        <v>3672.2</v>
      </c>
      <c r="J76" s="75">
        <f t="shared" si="8"/>
        <v>0</v>
      </c>
      <c r="L76" t="s">
        <v>290</v>
      </c>
      <c r="M76">
        <v>500</v>
      </c>
      <c r="N76">
        <v>0</v>
      </c>
      <c r="P76" t="s">
        <v>290</v>
      </c>
      <c r="Q76">
        <v>500</v>
      </c>
      <c r="R76">
        <v>0</v>
      </c>
      <c r="U76" t="s">
        <v>290</v>
      </c>
      <c r="V76">
        <v>500</v>
      </c>
      <c r="W76">
        <v>0</v>
      </c>
      <c r="Y76" t="s">
        <v>290</v>
      </c>
      <c r="Z76">
        <v>500</v>
      </c>
      <c r="AA76">
        <v>0</v>
      </c>
      <c r="AC76" t="s">
        <v>120</v>
      </c>
      <c r="AD76">
        <v>1000</v>
      </c>
      <c r="AE76">
        <v>250</v>
      </c>
      <c r="AG76" t="s">
        <v>120</v>
      </c>
      <c r="AH76">
        <v>1000</v>
      </c>
      <c r="AI76">
        <v>250</v>
      </c>
      <c r="AK76" t="s">
        <v>141</v>
      </c>
      <c r="AL76">
        <v>1100</v>
      </c>
      <c r="AM76">
        <v>0</v>
      </c>
      <c r="AO76" t="s">
        <v>141</v>
      </c>
      <c r="AP76">
        <v>1100</v>
      </c>
      <c r="AQ76">
        <v>0</v>
      </c>
      <c r="AS76" t="s">
        <v>141</v>
      </c>
      <c r="AT76">
        <v>1100</v>
      </c>
      <c r="AU76">
        <v>0</v>
      </c>
    </row>
    <row r="77" spans="1:47" x14ac:dyDescent="0.3">
      <c r="A77" t="s">
        <v>297</v>
      </c>
      <c r="B77" t="s">
        <v>70</v>
      </c>
      <c r="C77" t="s">
        <v>299</v>
      </c>
      <c r="D77">
        <f t="shared" si="6"/>
        <v>1200</v>
      </c>
      <c r="E77">
        <f t="shared" si="7"/>
        <v>1575</v>
      </c>
      <c r="F77" s="102">
        <f t="shared" si="9"/>
        <v>0</v>
      </c>
      <c r="G77" t="s">
        <v>290</v>
      </c>
      <c r="H77">
        <v>500</v>
      </c>
      <c r="I77">
        <v>3605</v>
      </c>
      <c r="J77" s="75">
        <f t="shared" si="8"/>
        <v>0</v>
      </c>
      <c r="L77" t="s">
        <v>282</v>
      </c>
      <c r="M77">
        <v>563.83000000000004</v>
      </c>
      <c r="N77">
        <v>144</v>
      </c>
      <c r="P77" t="s">
        <v>282</v>
      </c>
      <c r="Q77">
        <v>527.83000000000004</v>
      </c>
      <c r="R77">
        <v>144</v>
      </c>
      <c r="U77" t="s">
        <v>282</v>
      </c>
      <c r="V77">
        <v>527.83000000000004</v>
      </c>
      <c r="W77">
        <v>72</v>
      </c>
      <c r="Y77" t="s">
        <v>282</v>
      </c>
      <c r="Z77">
        <v>527.83000000000004</v>
      </c>
      <c r="AA77">
        <v>72</v>
      </c>
      <c r="AC77" t="s">
        <v>286</v>
      </c>
      <c r="AD77">
        <v>938.4</v>
      </c>
      <c r="AE77">
        <v>256</v>
      </c>
      <c r="AG77" t="s">
        <v>286</v>
      </c>
      <c r="AH77">
        <v>938.4</v>
      </c>
      <c r="AI77">
        <v>256</v>
      </c>
      <c r="AK77" t="s">
        <v>368</v>
      </c>
      <c r="AL77">
        <v>60209.7</v>
      </c>
      <c r="AM77">
        <v>40260.080000000002</v>
      </c>
      <c r="AO77" t="s">
        <v>368</v>
      </c>
      <c r="AP77">
        <v>60209.7</v>
      </c>
      <c r="AQ77">
        <v>40260.080000000002</v>
      </c>
      <c r="AS77" t="s">
        <v>368</v>
      </c>
      <c r="AT77">
        <v>60209.7</v>
      </c>
      <c r="AU77">
        <v>40260.080000000002</v>
      </c>
    </row>
    <row r="78" spans="1:47" x14ac:dyDescent="0.3">
      <c r="A78" t="s">
        <v>9</v>
      </c>
      <c r="B78" t="s">
        <v>30</v>
      </c>
      <c r="D78">
        <f t="shared" si="6"/>
        <v>0</v>
      </c>
      <c r="E78">
        <f t="shared" si="7"/>
        <v>0</v>
      </c>
      <c r="F78" s="102">
        <f t="shared" si="9"/>
        <v>0</v>
      </c>
      <c r="G78" t="s">
        <v>282</v>
      </c>
      <c r="H78">
        <v>892.81</v>
      </c>
      <c r="I78">
        <v>180</v>
      </c>
      <c r="J78" s="75">
        <f t="shared" si="8"/>
        <v>0</v>
      </c>
      <c r="L78" t="s">
        <v>120</v>
      </c>
      <c r="M78">
        <v>3062.5</v>
      </c>
      <c r="N78">
        <v>2207.5</v>
      </c>
      <c r="P78" t="s">
        <v>120</v>
      </c>
      <c r="Q78">
        <v>3062.5</v>
      </c>
      <c r="R78">
        <v>2207.5</v>
      </c>
      <c r="U78" t="s">
        <v>120</v>
      </c>
      <c r="V78">
        <v>2612.5</v>
      </c>
      <c r="W78">
        <v>825</v>
      </c>
      <c r="Y78" t="s">
        <v>120</v>
      </c>
      <c r="Z78">
        <v>2612.5</v>
      </c>
      <c r="AA78">
        <v>825</v>
      </c>
      <c r="AC78" t="s">
        <v>287</v>
      </c>
      <c r="AD78">
        <v>0</v>
      </c>
      <c r="AE78">
        <v>1500</v>
      </c>
      <c r="AG78" t="s">
        <v>287</v>
      </c>
      <c r="AH78">
        <v>0</v>
      </c>
      <c r="AI78">
        <v>1500</v>
      </c>
      <c r="AK78" t="s">
        <v>369</v>
      </c>
      <c r="AO78" t="s">
        <v>369</v>
      </c>
      <c r="AS78" t="s">
        <v>369</v>
      </c>
    </row>
    <row r="79" spans="1:47" x14ac:dyDescent="0.3">
      <c r="A79" t="s">
        <v>297</v>
      </c>
      <c r="B79" t="s">
        <v>73</v>
      </c>
      <c r="C79" t="s">
        <v>300</v>
      </c>
      <c r="D79">
        <f t="shared" si="6"/>
        <v>4831.78</v>
      </c>
      <c r="E79">
        <f t="shared" si="7"/>
        <v>0</v>
      </c>
      <c r="F79" s="102">
        <f t="shared" si="9"/>
        <v>0</v>
      </c>
      <c r="G79" t="s">
        <v>120</v>
      </c>
      <c r="H79">
        <v>5612.5</v>
      </c>
      <c r="I79">
        <v>4882.5</v>
      </c>
      <c r="J79" s="75">
        <f t="shared" si="8"/>
        <v>0</v>
      </c>
      <c r="L79" t="s">
        <v>286</v>
      </c>
      <c r="M79">
        <v>2189.88</v>
      </c>
      <c r="N79">
        <v>7337.04</v>
      </c>
      <c r="P79" t="s">
        <v>286</v>
      </c>
      <c r="Q79">
        <v>1734.61</v>
      </c>
      <c r="R79">
        <v>1396.76</v>
      </c>
      <c r="U79" t="s">
        <v>286</v>
      </c>
      <c r="V79">
        <v>1507.61</v>
      </c>
      <c r="W79">
        <v>1096.76</v>
      </c>
      <c r="Y79" t="s">
        <v>286</v>
      </c>
      <c r="Z79">
        <v>1507.61</v>
      </c>
      <c r="AA79">
        <v>1096.76</v>
      </c>
      <c r="AC79" t="s">
        <v>131</v>
      </c>
      <c r="AD79">
        <v>6500</v>
      </c>
      <c r="AE79">
        <v>8000</v>
      </c>
      <c r="AG79" t="s">
        <v>131</v>
      </c>
      <c r="AH79">
        <v>6500</v>
      </c>
      <c r="AI79">
        <v>8000</v>
      </c>
      <c r="AK79" t="s">
        <v>370</v>
      </c>
      <c r="AO79" t="s">
        <v>370</v>
      </c>
      <c r="AS79" t="s">
        <v>370</v>
      </c>
    </row>
    <row r="80" spans="1:47" x14ac:dyDescent="0.3">
      <c r="A80" t="s">
        <v>297</v>
      </c>
      <c r="B80" t="s">
        <v>74</v>
      </c>
      <c r="C80" t="s">
        <v>74</v>
      </c>
      <c r="D80">
        <f t="shared" si="6"/>
        <v>611</v>
      </c>
      <c r="E80">
        <f t="shared" si="7"/>
        <v>1000</v>
      </c>
      <c r="F80" s="102">
        <f t="shared" si="9"/>
        <v>0</v>
      </c>
      <c r="G80" t="s">
        <v>286</v>
      </c>
      <c r="H80">
        <v>2189.88</v>
      </c>
      <c r="I80">
        <v>9153.24</v>
      </c>
      <c r="J80" s="75">
        <f t="shared" si="8"/>
        <v>0</v>
      </c>
      <c r="L80" t="s">
        <v>287</v>
      </c>
      <c r="M80">
        <v>0</v>
      </c>
      <c r="N80">
        <v>1500</v>
      </c>
      <c r="P80" t="s">
        <v>287</v>
      </c>
      <c r="Q80">
        <v>0</v>
      </c>
      <c r="R80">
        <v>1500</v>
      </c>
      <c r="U80" t="s">
        <v>287</v>
      </c>
      <c r="V80">
        <v>0</v>
      </c>
      <c r="W80">
        <v>1500</v>
      </c>
      <c r="Y80" t="s">
        <v>287</v>
      </c>
      <c r="Z80">
        <v>0</v>
      </c>
      <c r="AA80">
        <v>1500</v>
      </c>
      <c r="AC80" t="s">
        <v>119</v>
      </c>
      <c r="AD80">
        <v>5875</v>
      </c>
      <c r="AE80">
        <v>5000</v>
      </c>
      <c r="AG80" t="s">
        <v>119</v>
      </c>
      <c r="AH80">
        <v>5875</v>
      </c>
      <c r="AI80">
        <v>5000</v>
      </c>
      <c r="AK80" t="s">
        <v>371</v>
      </c>
      <c r="AL80">
        <v>0</v>
      </c>
      <c r="AM80">
        <v>2000</v>
      </c>
      <c r="AO80" t="s">
        <v>371</v>
      </c>
      <c r="AP80">
        <v>0</v>
      </c>
      <c r="AQ80">
        <v>2000</v>
      </c>
      <c r="AS80" t="s">
        <v>371</v>
      </c>
      <c r="AT80">
        <v>0</v>
      </c>
      <c r="AU80">
        <v>2000</v>
      </c>
    </row>
    <row r="81" spans="1:47" x14ac:dyDescent="0.3">
      <c r="A81" t="s">
        <v>297</v>
      </c>
      <c r="B81" t="s">
        <v>67</v>
      </c>
      <c r="C81" t="s">
        <v>67</v>
      </c>
      <c r="D81">
        <f t="shared" si="6"/>
        <v>29871.84</v>
      </c>
      <c r="E81">
        <f t="shared" si="7"/>
        <v>28875</v>
      </c>
      <c r="F81" s="102">
        <f t="shared" si="9"/>
        <v>0</v>
      </c>
      <c r="G81" t="s">
        <v>287</v>
      </c>
      <c r="H81">
        <v>0</v>
      </c>
      <c r="I81">
        <v>1500</v>
      </c>
      <c r="J81" s="75">
        <f t="shared" si="8"/>
        <v>0</v>
      </c>
      <c r="L81" t="s">
        <v>131</v>
      </c>
      <c r="M81">
        <v>14000</v>
      </c>
      <c r="N81">
        <v>20000</v>
      </c>
      <c r="P81" t="s">
        <v>131</v>
      </c>
      <c r="Q81">
        <v>11500</v>
      </c>
      <c r="R81">
        <v>16000</v>
      </c>
      <c r="U81" t="s">
        <v>131</v>
      </c>
      <c r="V81">
        <v>9000</v>
      </c>
      <c r="W81">
        <v>12000</v>
      </c>
      <c r="Y81" t="s">
        <v>131</v>
      </c>
      <c r="Z81">
        <v>9000</v>
      </c>
      <c r="AA81">
        <v>12000</v>
      </c>
      <c r="AC81" t="s">
        <v>141</v>
      </c>
      <c r="AD81">
        <v>1100</v>
      </c>
      <c r="AE81">
        <v>0</v>
      </c>
      <c r="AG81" t="s">
        <v>141</v>
      </c>
      <c r="AH81">
        <v>1100</v>
      </c>
      <c r="AI81">
        <v>0</v>
      </c>
      <c r="AK81" t="s">
        <v>296</v>
      </c>
      <c r="AL81">
        <v>0</v>
      </c>
      <c r="AM81">
        <v>2000</v>
      </c>
      <c r="AO81" t="s">
        <v>296</v>
      </c>
      <c r="AP81">
        <v>0</v>
      </c>
      <c r="AQ81">
        <v>2000</v>
      </c>
      <c r="AS81" t="s">
        <v>296</v>
      </c>
      <c r="AT81">
        <v>0</v>
      </c>
      <c r="AU81">
        <v>2000</v>
      </c>
    </row>
    <row r="82" spans="1:47" x14ac:dyDescent="0.3">
      <c r="A82" t="s">
        <v>297</v>
      </c>
      <c r="B82" t="s">
        <v>68</v>
      </c>
      <c r="C82" t="s">
        <v>301</v>
      </c>
      <c r="D82">
        <f t="shared" si="6"/>
        <v>1722.41</v>
      </c>
      <c r="E82">
        <f t="shared" si="7"/>
        <v>1419.95</v>
      </c>
      <c r="F82" s="102">
        <f t="shared" si="9"/>
        <v>0</v>
      </c>
      <c r="G82" t="s">
        <v>131</v>
      </c>
      <c r="H82">
        <v>16500</v>
      </c>
      <c r="I82">
        <v>24000</v>
      </c>
      <c r="J82" s="75">
        <f t="shared" si="8"/>
        <v>0</v>
      </c>
      <c r="L82" t="s">
        <v>119</v>
      </c>
      <c r="M82">
        <v>29000</v>
      </c>
      <c r="N82">
        <v>21325</v>
      </c>
      <c r="P82" t="s">
        <v>119</v>
      </c>
      <c r="Q82">
        <v>14675</v>
      </c>
      <c r="R82">
        <v>15850</v>
      </c>
      <c r="U82" t="s">
        <v>119</v>
      </c>
      <c r="V82">
        <v>14675</v>
      </c>
      <c r="W82">
        <v>9887.5</v>
      </c>
      <c r="Y82" t="s">
        <v>119</v>
      </c>
      <c r="Z82">
        <v>14675</v>
      </c>
      <c r="AA82">
        <v>9887.5</v>
      </c>
      <c r="AC82" t="s">
        <v>288</v>
      </c>
      <c r="AD82">
        <v>324.89999999999998</v>
      </c>
      <c r="AE82">
        <v>0</v>
      </c>
      <c r="AG82" t="s">
        <v>288</v>
      </c>
      <c r="AH82">
        <v>324.89999999999998</v>
      </c>
      <c r="AI82">
        <v>0</v>
      </c>
      <c r="AK82" t="s">
        <v>373</v>
      </c>
      <c r="AO82" t="s">
        <v>373</v>
      </c>
      <c r="AS82" t="s">
        <v>373</v>
      </c>
    </row>
    <row r="83" spans="1:47" x14ac:dyDescent="0.3">
      <c r="A83" t="s">
        <v>262</v>
      </c>
      <c r="B83" t="s">
        <v>239</v>
      </c>
      <c r="C83" t="s">
        <v>302</v>
      </c>
      <c r="D83">
        <f t="shared" si="6"/>
        <v>130223.16</v>
      </c>
      <c r="E83">
        <f t="shared" si="7"/>
        <v>125504.61</v>
      </c>
      <c r="F83" s="102">
        <f t="shared" si="9"/>
        <v>0</v>
      </c>
      <c r="G83" t="s">
        <v>119</v>
      </c>
      <c r="H83">
        <v>29000</v>
      </c>
      <c r="I83">
        <v>28099.22</v>
      </c>
      <c r="J83" s="75">
        <f t="shared" si="8"/>
        <v>0</v>
      </c>
      <c r="L83" t="s">
        <v>141</v>
      </c>
      <c r="M83">
        <v>17572.259999999998</v>
      </c>
      <c r="N83">
        <v>10150</v>
      </c>
      <c r="P83" t="s">
        <v>141</v>
      </c>
      <c r="Q83">
        <v>6059.76</v>
      </c>
      <c r="R83">
        <v>0</v>
      </c>
      <c r="U83" t="s">
        <v>141</v>
      </c>
      <c r="V83">
        <v>1100</v>
      </c>
      <c r="W83">
        <v>0</v>
      </c>
      <c r="Y83" t="s">
        <v>141</v>
      </c>
      <c r="Z83">
        <v>1100</v>
      </c>
      <c r="AA83">
        <v>0</v>
      </c>
      <c r="AC83" t="s">
        <v>368</v>
      </c>
      <c r="AD83">
        <v>119432.73</v>
      </c>
      <c r="AE83">
        <v>127732.01</v>
      </c>
      <c r="AG83" t="s">
        <v>368</v>
      </c>
      <c r="AH83">
        <v>113741.13</v>
      </c>
      <c r="AI83">
        <v>127732.01</v>
      </c>
      <c r="AK83" t="s">
        <v>374</v>
      </c>
      <c r="AO83" t="s">
        <v>374</v>
      </c>
      <c r="AS83" t="s">
        <v>374</v>
      </c>
    </row>
    <row r="84" spans="1:47" x14ac:dyDescent="0.3">
      <c r="A84" t="s">
        <v>9</v>
      </c>
      <c r="B84" t="s">
        <v>82</v>
      </c>
      <c r="D84">
        <f t="shared" si="6"/>
        <v>0</v>
      </c>
      <c r="E84">
        <f t="shared" si="7"/>
        <v>0</v>
      </c>
      <c r="F84" s="102">
        <f t="shared" si="9"/>
        <v>0</v>
      </c>
      <c r="G84" t="s">
        <v>141</v>
      </c>
      <c r="H84">
        <v>19572.259999999998</v>
      </c>
      <c r="I84">
        <v>17650</v>
      </c>
      <c r="J84" s="75">
        <f t="shared" si="8"/>
        <v>0</v>
      </c>
      <c r="L84" t="s">
        <v>288</v>
      </c>
      <c r="M84">
        <v>477.24</v>
      </c>
      <c r="N84">
        <v>567.63</v>
      </c>
      <c r="P84" t="s">
        <v>288</v>
      </c>
      <c r="Q84">
        <v>324.89999999999998</v>
      </c>
      <c r="R84">
        <v>455.34</v>
      </c>
      <c r="U84" t="s">
        <v>288</v>
      </c>
      <c r="V84">
        <v>324.89999999999998</v>
      </c>
      <c r="W84">
        <v>109.46</v>
      </c>
      <c r="Y84" t="s">
        <v>288</v>
      </c>
      <c r="Z84">
        <v>324.89999999999998</v>
      </c>
      <c r="AA84">
        <v>109.46</v>
      </c>
      <c r="AC84" t="s">
        <v>369</v>
      </c>
      <c r="AG84" t="s">
        <v>369</v>
      </c>
      <c r="AK84" t="s">
        <v>298</v>
      </c>
      <c r="AL84">
        <v>26774.16</v>
      </c>
      <c r="AM84">
        <v>7598.25</v>
      </c>
      <c r="AO84" t="s">
        <v>298</v>
      </c>
      <c r="AP84">
        <v>26774.16</v>
      </c>
      <c r="AQ84">
        <v>7598.25</v>
      </c>
      <c r="AS84" t="s">
        <v>298</v>
      </c>
      <c r="AT84">
        <v>26774.16</v>
      </c>
      <c r="AU84">
        <v>7598.25</v>
      </c>
    </row>
    <row r="85" spans="1:47" x14ac:dyDescent="0.3">
      <c r="A85" t="s">
        <v>297</v>
      </c>
      <c r="B85" t="s">
        <v>78</v>
      </c>
      <c r="C85" t="s">
        <v>78</v>
      </c>
      <c r="D85">
        <f t="shared" si="6"/>
        <v>0</v>
      </c>
      <c r="E85">
        <f t="shared" si="7"/>
        <v>0</v>
      </c>
      <c r="F85" s="102">
        <f t="shared" si="9"/>
        <v>0</v>
      </c>
      <c r="G85" t="s">
        <v>288</v>
      </c>
      <c r="H85">
        <v>477.24</v>
      </c>
      <c r="I85">
        <v>567.63</v>
      </c>
      <c r="J85" s="75">
        <f t="shared" si="8"/>
        <v>0</v>
      </c>
      <c r="L85" t="s">
        <v>368</v>
      </c>
      <c r="M85">
        <v>347381.76000000001</v>
      </c>
      <c r="N85">
        <v>359694.47</v>
      </c>
      <c r="P85" t="s">
        <v>368</v>
      </c>
      <c r="Q85">
        <v>249503.43</v>
      </c>
      <c r="R85">
        <v>279863.48</v>
      </c>
      <c r="U85" t="s">
        <v>368</v>
      </c>
      <c r="V85">
        <v>186306.83</v>
      </c>
      <c r="W85">
        <v>199305.31</v>
      </c>
      <c r="Y85" t="s">
        <v>368</v>
      </c>
      <c r="Z85">
        <v>186306.83</v>
      </c>
      <c r="AA85">
        <v>199305.31</v>
      </c>
      <c r="AC85" t="s">
        <v>370</v>
      </c>
      <c r="AG85" t="s">
        <v>370</v>
      </c>
      <c r="AK85" t="s">
        <v>375</v>
      </c>
      <c r="AL85">
        <v>26774.16</v>
      </c>
      <c r="AM85">
        <v>7598.25</v>
      </c>
      <c r="AO85" t="s">
        <v>375</v>
      </c>
      <c r="AP85">
        <v>26774.16</v>
      </c>
      <c r="AQ85">
        <v>7598.25</v>
      </c>
      <c r="AS85" t="s">
        <v>375</v>
      </c>
      <c r="AT85">
        <v>26774.16</v>
      </c>
      <c r="AU85">
        <v>7598.25</v>
      </c>
    </row>
    <row r="86" spans="1:47" x14ac:dyDescent="0.3">
      <c r="A86" t="s">
        <v>297</v>
      </c>
      <c r="B86" t="s">
        <v>77</v>
      </c>
      <c r="C86" t="s">
        <v>77</v>
      </c>
      <c r="D86">
        <f t="shared" si="6"/>
        <v>2500</v>
      </c>
      <c r="E86">
        <f t="shared" si="7"/>
        <v>2500</v>
      </c>
      <c r="F86" s="102">
        <f t="shared" si="9"/>
        <v>-465936.61</v>
      </c>
      <c r="G86" t="s">
        <v>368</v>
      </c>
      <c r="H86">
        <v>465936.61</v>
      </c>
      <c r="I86">
        <v>494262.04</v>
      </c>
      <c r="J86" s="75">
        <f t="shared" si="8"/>
        <v>-494262.04</v>
      </c>
      <c r="L86" t="s">
        <v>369</v>
      </c>
      <c r="P86" t="s">
        <v>369</v>
      </c>
      <c r="U86" t="s">
        <v>369</v>
      </c>
      <c r="Y86" t="s">
        <v>369</v>
      </c>
      <c r="AC86" t="s">
        <v>371</v>
      </c>
      <c r="AD86">
        <v>0</v>
      </c>
      <c r="AE86">
        <v>3000</v>
      </c>
      <c r="AG86" t="s">
        <v>371</v>
      </c>
      <c r="AH86">
        <v>0</v>
      </c>
      <c r="AI86">
        <v>3000</v>
      </c>
      <c r="AK86" t="s">
        <v>376</v>
      </c>
      <c r="AO86" t="s">
        <v>376</v>
      </c>
      <c r="AS86" t="s">
        <v>376</v>
      </c>
    </row>
    <row r="87" spans="1:47" x14ac:dyDescent="0.3">
      <c r="A87" t="s">
        <v>9</v>
      </c>
      <c r="B87" t="s">
        <v>303</v>
      </c>
      <c r="D87">
        <f t="shared" si="6"/>
        <v>0</v>
      </c>
      <c r="E87">
        <f t="shared" si="7"/>
        <v>0</v>
      </c>
      <c r="F87" s="102">
        <f t="shared" si="9"/>
        <v>0</v>
      </c>
      <c r="G87" t="s">
        <v>369</v>
      </c>
      <c r="J87" s="75">
        <f t="shared" si="8"/>
        <v>0</v>
      </c>
      <c r="L87" t="s">
        <v>370</v>
      </c>
      <c r="P87" t="s">
        <v>370</v>
      </c>
      <c r="U87" t="s">
        <v>370</v>
      </c>
      <c r="Y87" t="s">
        <v>370</v>
      </c>
      <c r="AC87" t="s">
        <v>372</v>
      </c>
      <c r="AD87">
        <v>3000</v>
      </c>
      <c r="AE87">
        <v>0</v>
      </c>
      <c r="AG87" t="s">
        <v>372</v>
      </c>
      <c r="AH87">
        <v>3000</v>
      </c>
      <c r="AI87">
        <v>0</v>
      </c>
      <c r="AK87" t="s">
        <v>377</v>
      </c>
      <c r="AL87">
        <v>0</v>
      </c>
      <c r="AM87">
        <v>525</v>
      </c>
      <c r="AO87" t="s">
        <v>377</v>
      </c>
      <c r="AP87">
        <v>0</v>
      </c>
      <c r="AQ87">
        <v>525</v>
      </c>
      <c r="AS87" t="s">
        <v>377</v>
      </c>
      <c r="AT87">
        <v>0</v>
      </c>
      <c r="AU87">
        <v>525</v>
      </c>
    </row>
    <row r="88" spans="1:47" x14ac:dyDescent="0.3">
      <c r="A88" t="s">
        <v>297</v>
      </c>
      <c r="B88" t="s">
        <v>79</v>
      </c>
      <c r="C88" t="s">
        <v>79</v>
      </c>
      <c r="D88">
        <f t="shared" si="6"/>
        <v>3071.42</v>
      </c>
      <c r="E88">
        <f t="shared" si="7"/>
        <v>0</v>
      </c>
      <c r="F88" s="102">
        <f t="shared" si="9"/>
        <v>0</v>
      </c>
      <c r="G88" t="s">
        <v>370</v>
      </c>
      <c r="J88" s="75">
        <f t="shared" si="8"/>
        <v>0</v>
      </c>
      <c r="L88" t="s">
        <v>371</v>
      </c>
      <c r="M88">
        <v>1000</v>
      </c>
      <c r="N88">
        <v>4600</v>
      </c>
      <c r="P88" t="s">
        <v>371</v>
      </c>
      <c r="Q88">
        <v>1000</v>
      </c>
      <c r="R88">
        <v>4600</v>
      </c>
      <c r="U88" t="s">
        <v>371</v>
      </c>
      <c r="V88">
        <v>0</v>
      </c>
      <c r="W88">
        <v>3000</v>
      </c>
      <c r="Y88" t="s">
        <v>371</v>
      </c>
      <c r="Z88">
        <v>0</v>
      </c>
      <c r="AA88">
        <v>3000</v>
      </c>
      <c r="AC88" t="s">
        <v>296</v>
      </c>
      <c r="AD88">
        <v>3000</v>
      </c>
      <c r="AE88">
        <v>3000</v>
      </c>
      <c r="AG88" t="s">
        <v>296</v>
      </c>
      <c r="AH88">
        <v>3000</v>
      </c>
      <c r="AI88">
        <v>3000</v>
      </c>
      <c r="AK88" t="s">
        <v>299</v>
      </c>
      <c r="AL88">
        <v>0</v>
      </c>
      <c r="AM88">
        <v>525</v>
      </c>
      <c r="AO88" t="s">
        <v>299</v>
      </c>
      <c r="AP88">
        <v>0</v>
      </c>
      <c r="AQ88">
        <v>525</v>
      </c>
      <c r="AS88" t="s">
        <v>299</v>
      </c>
      <c r="AT88">
        <v>0</v>
      </c>
      <c r="AU88">
        <v>525</v>
      </c>
    </row>
    <row r="89" spans="1:47" x14ac:dyDescent="0.3">
      <c r="A89" t="s">
        <v>297</v>
      </c>
      <c r="B89" t="s">
        <v>80</v>
      </c>
      <c r="C89" t="s">
        <v>304</v>
      </c>
      <c r="D89">
        <f t="shared" si="6"/>
        <v>560</v>
      </c>
      <c r="E89">
        <f t="shared" si="7"/>
        <v>0</v>
      </c>
      <c r="F89" s="102">
        <f t="shared" si="9"/>
        <v>-1000</v>
      </c>
      <c r="G89" t="s">
        <v>371</v>
      </c>
      <c r="H89">
        <v>1000</v>
      </c>
      <c r="I89">
        <v>4600</v>
      </c>
      <c r="J89" s="75">
        <f t="shared" si="8"/>
        <v>-4600</v>
      </c>
      <c r="L89" t="s">
        <v>372</v>
      </c>
      <c r="M89">
        <v>5695</v>
      </c>
      <c r="N89">
        <v>2000</v>
      </c>
      <c r="P89" t="s">
        <v>372</v>
      </c>
      <c r="Q89">
        <v>5695</v>
      </c>
      <c r="R89">
        <v>2000</v>
      </c>
      <c r="U89" t="s">
        <v>372</v>
      </c>
      <c r="V89">
        <v>3000</v>
      </c>
      <c r="W89">
        <v>2000</v>
      </c>
      <c r="Y89" t="s">
        <v>372</v>
      </c>
      <c r="Z89">
        <v>3000</v>
      </c>
      <c r="AA89">
        <v>2000</v>
      </c>
      <c r="AC89" t="s">
        <v>373</v>
      </c>
      <c r="AG89" t="s">
        <v>373</v>
      </c>
      <c r="AK89" t="s">
        <v>380</v>
      </c>
      <c r="AO89" t="s">
        <v>380</v>
      </c>
      <c r="AS89" t="s">
        <v>380</v>
      </c>
    </row>
    <row r="90" spans="1:47" x14ac:dyDescent="0.3">
      <c r="A90" t="s">
        <v>253</v>
      </c>
      <c r="B90" t="s">
        <v>222</v>
      </c>
      <c r="C90" t="s">
        <v>305</v>
      </c>
      <c r="D90">
        <f t="shared" si="6"/>
        <v>14419.07</v>
      </c>
      <c r="E90">
        <f t="shared" si="7"/>
        <v>0</v>
      </c>
      <c r="F90" s="102">
        <f t="shared" si="9"/>
        <v>-6695</v>
      </c>
      <c r="G90" t="s">
        <v>372</v>
      </c>
      <c r="H90">
        <v>6695</v>
      </c>
      <c r="I90">
        <v>2000</v>
      </c>
      <c r="J90" s="75">
        <f t="shared" si="8"/>
        <v>-2000</v>
      </c>
      <c r="L90" t="s">
        <v>296</v>
      </c>
      <c r="M90">
        <v>6695</v>
      </c>
      <c r="N90">
        <v>6600</v>
      </c>
      <c r="P90" t="s">
        <v>296</v>
      </c>
      <c r="Q90">
        <v>6695</v>
      </c>
      <c r="R90">
        <v>6600</v>
      </c>
      <c r="U90" t="s">
        <v>296</v>
      </c>
      <c r="V90">
        <v>3000</v>
      </c>
      <c r="W90">
        <v>5000</v>
      </c>
      <c r="Y90" t="s">
        <v>296</v>
      </c>
      <c r="Z90">
        <v>3000</v>
      </c>
      <c r="AA90">
        <v>5000</v>
      </c>
      <c r="AC90" t="s">
        <v>374</v>
      </c>
      <c r="AG90" t="s">
        <v>374</v>
      </c>
      <c r="AK90" t="s">
        <v>67</v>
      </c>
      <c r="AL90">
        <v>9571.84</v>
      </c>
      <c r="AM90">
        <v>0</v>
      </c>
      <c r="AO90" t="s">
        <v>67</v>
      </c>
      <c r="AP90">
        <v>9571.84</v>
      </c>
      <c r="AQ90">
        <v>0</v>
      </c>
      <c r="AS90" t="s">
        <v>67</v>
      </c>
      <c r="AT90">
        <v>9571.84</v>
      </c>
      <c r="AU90">
        <v>0</v>
      </c>
    </row>
    <row r="91" spans="1:47" x14ac:dyDescent="0.3">
      <c r="A91" t="s">
        <v>253</v>
      </c>
      <c r="B91" t="s">
        <v>19</v>
      </c>
      <c r="C91" t="s">
        <v>306</v>
      </c>
      <c r="D91">
        <f t="shared" si="6"/>
        <v>1276.48</v>
      </c>
      <c r="E91">
        <f t="shared" si="7"/>
        <v>6342.14</v>
      </c>
      <c r="F91" s="102">
        <f t="shared" si="9"/>
        <v>0</v>
      </c>
      <c r="G91" t="s">
        <v>296</v>
      </c>
      <c r="H91">
        <v>7695</v>
      </c>
      <c r="I91">
        <v>6600</v>
      </c>
      <c r="J91" s="75">
        <f t="shared" si="8"/>
        <v>0</v>
      </c>
      <c r="L91" t="s">
        <v>373</v>
      </c>
      <c r="P91" t="s">
        <v>373</v>
      </c>
      <c r="U91" t="s">
        <v>373</v>
      </c>
      <c r="Y91" t="s">
        <v>373</v>
      </c>
      <c r="AC91" t="s">
        <v>298</v>
      </c>
      <c r="AD91">
        <v>20734.669999999998</v>
      </c>
      <c r="AE91">
        <v>7598.25</v>
      </c>
      <c r="AG91" t="s">
        <v>298</v>
      </c>
      <c r="AH91">
        <v>30332.27</v>
      </c>
      <c r="AI91">
        <v>7598.25</v>
      </c>
      <c r="AK91" t="s">
        <v>301</v>
      </c>
      <c r="AL91">
        <v>74.25</v>
      </c>
      <c r="AM91">
        <v>0</v>
      </c>
      <c r="AO91" t="s">
        <v>301</v>
      </c>
      <c r="AP91">
        <v>74.25</v>
      </c>
      <c r="AQ91">
        <v>0</v>
      </c>
      <c r="AS91" t="s">
        <v>301</v>
      </c>
      <c r="AT91">
        <v>74.25</v>
      </c>
      <c r="AU91">
        <v>0</v>
      </c>
    </row>
    <row r="92" spans="1:47" x14ac:dyDescent="0.3">
      <c r="A92" t="s">
        <v>297</v>
      </c>
      <c r="B92" t="s">
        <v>82</v>
      </c>
      <c r="C92" t="s">
        <v>307</v>
      </c>
      <c r="D92">
        <f t="shared" si="6"/>
        <v>0</v>
      </c>
      <c r="E92">
        <f t="shared" si="7"/>
        <v>0</v>
      </c>
      <c r="F92" s="102">
        <f t="shared" si="9"/>
        <v>0</v>
      </c>
      <c r="G92" t="s">
        <v>373</v>
      </c>
      <c r="J92" s="75">
        <f t="shared" si="8"/>
        <v>0</v>
      </c>
      <c r="L92" t="s">
        <v>374</v>
      </c>
      <c r="P92" t="s">
        <v>374</v>
      </c>
      <c r="U92" t="s">
        <v>374</v>
      </c>
      <c r="Y92" t="s">
        <v>374</v>
      </c>
      <c r="AC92" t="s">
        <v>375</v>
      </c>
      <c r="AD92">
        <v>20734.669999999998</v>
      </c>
      <c r="AE92">
        <v>7598.25</v>
      </c>
      <c r="AG92" t="s">
        <v>375</v>
      </c>
      <c r="AH92">
        <v>30332.27</v>
      </c>
      <c r="AI92">
        <v>7598.25</v>
      </c>
      <c r="AK92" t="s">
        <v>381</v>
      </c>
      <c r="AL92">
        <v>9646.09</v>
      </c>
      <c r="AM92">
        <v>0</v>
      </c>
      <c r="AO92" t="s">
        <v>381</v>
      </c>
      <c r="AP92">
        <v>9646.09</v>
      </c>
      <c r="AQ92">
        <v>0</v>
      </c>
      <c r="AS92" t="s">
        <v>381</v>
      </c>
      <c r="AT92">
        <v>9646.09</v>
      </c>
      <c r="AU92">
        <v>0</v>
      </c>
    </row>
    <row r="93" spans="1:47" x14ac:dyDescent="0.3">
      <c r="A93" t="s">
        <v>9</v>
      </c>
      <c r="B93" t="s">
        <v>23</v>
      </c>
      <c r="D93">
        <f t="shared" si="6"/>
        <v>0</v>
      </c>
      <c r="E93">
        <f t="shared" si="7"/>
        <v>0</v>
      </c>
      <c r="F93" s="102">
        <f t="shared" si="9"/>
        <v>0</v>
      </c>
      <c r="G93" t="s">
        <v>374</v>
      </c>
      <c r="J93" s="75">
        <f t="shared" si="8"/>
        <v>0</v>
      </c>
      <c r="L93" t="s">
        <v>298</v>
      </c>
      <c r="M93">
        <v>20460.88</v>
      </c>
      <c r="N93">
        <v>26599.9</v>
      </c>
      <c r="P93" t="s">
        <v>298</v>
      </c>
      <c r="Q93">
        <v>20460.88</v>
      </c>
      <c r="R93">
        <v>24933.26</v>
      </c>
      <c r="U93" t="s">
        <v>298</v>
      </c>
      <c r="V93">
        <v>19442.009999999998</v>
      </c>
      <c r="W93">
        <v>19346.53</v>
      </c>
      <c r="Y93" t="s">
        <v>298</v>
      </c>
      <c r="Z93">
        <v>19442.009999999998</v>
      </c>
      <c r="AA93">
        <v>19346.53</v>
      </c>
      <c r="AC93" t="s">
        <v>376</v>
      </c>
      <c r="AG93" t="s">
        <v>376</v>
      </c>
      <c r="AK93" t="s">
        <v>382</v>
      </c>
      <c r="AO93" t="s">
        <v>382</v>
      </c>
      <c r="AS93" t="s">
        <v>382</v>
      </c>
    </row>
    <row r="94" spans="1:47" x14ac:dyDescent="0.3">
      <c r="A94" t="s">
        <v>308</v>
      </c>
      <c r="B94" t="s">
        <v>95</v>
      </c>
      <c r="C94" t="s">
        <v>309</v>
      </c>
      <c r="D94">
        <f t="shared" si="6"/>
        <v>33711.79</v>
      </c>
      <c r="E94">
        <f t="shared" si="7"/>
        <v>10216</v>
      </c>
      <c r="F94" s="102">
        <f t="shared" si="9"/>
        <v>0</v>
      </c>
      <c r="G94" t="s">
        <v>298</v>
      </c>
      <c r="H94">
        <v>25211.22</v>
      </c>
      <c r="I94">
        <v>26599.9</v>
      </c>
      <c r="J94" s="75">
        <f t="shared" si="8"/>
        <v>0</v>
      </c>
      <c r="L94" t="s">
        <v>375</v>
      </c>
      <c r="M94">
        <v>20460.88</v>
      </c>
      <c r="N94">
        <v>26599.9</v>
      </c>
      <c r="P94" t="s">
        <v>375</v>
      </c>
      <c r="Q94">
        <v>20460.88</v>
      </c>
      <c r="R94">
        <v>24933.26</v>
      </c>
      <c r="U94" t="s">
        <v>375</v>
      </c>
      <c r="V94">
        <v>19442.009999999998</v>
      </c>
      <c r="W94">
        <v>19346.53</v>
      </c>
      <c r="Y94" t="s">
        <v>375</v>
      </c>
      <c r="Z94">
        <v>19442.009999999998</v>
      </c>
      <c r="AA94">
        <v>19346.53</v>
      </c>
      <c r="AC94" t="s">
        <v>377</v>
      </c>
      <c r="AD94">
        <v>0</v>
      </c>
      <c r="AE94">
        <v>525</v>
      </c>
      <c r="AG94" t="s">
        <v>377</v>
      </c>
      <c r="AH94">
        <v>0</v>
      </c>
      <c r="AI94">
        <v>525</v>
      </c>
      <c r="AK94" t="s">
        <v>302</v>
      </c>
      <c r="AL94">
        <v>9553.25</v>
      </c>
      <c r="AM94">
        <v>16098.92</v>
      </c>
      <c r="AO94" t="s">
        <v>302</v>
      </c>
      <c r="AP94">
        <v>9553.25</v>
      </c>
      <c r="AQ94">
        <v>16098.92</v>
      </c>
      <c r="AS94" t="s">
        <v>302</v>
      </c>
      <c r="AT94">
        <v>9553.25</v>
      </c>
      <c r="AU94">
        <v>16098.92</v>
      </c>
    </row>
    <row r="95" spans="1:47" x14ac:dyDescent="0.3">
      <c r="A95" t="s">
        <v>308</v>
      </c>
      <c r="B95" t="s">
        <v>96</v>
      </c>
      <c r="C95" t="s">
        <v>310</v>
      </c>
      <c r="D95">
        <f t="shared" si="6"/>
        <v>51487.5</v>
      </c>
      <c r="E95">
        <f t="shared" si="7"/>
        <v>32128.5</v>
      </c>
      <c r="F95" s="102">
        <f t="shared" si="9"/>
        <v>-25211.22</v>
      </c>
      <c r="G95" t="s">
        <v>375</v>
      </c>
      <c r="H95">
        <v>25211.22</v>
      </c>
      <c r="I95">
        <v>26599.9</v>
      </c>
      <c r="J95" s="75">
        <f t="shared" si="8"/>
        <v>-26599.9</v>
      </c>
      <c r="L95" t="s">
        <v>376</v>
      </c>
      <c r="P95" t="s">
        <v>376</v>
      </c>
      <c r="U95" t="s">
        <v>376</v>
      </c>
      <c r="Y95" t="s">
        <v>376</v>
      </c>
      <c r="AC95" t="s">
        <v>299</v>
      </c>
      <c r="AD95">
        <v>0</v>
      </c>
      <c r="AE95">
        <v>525</v>
      </c>
      <c r="AG95" t="s">
        <v>299</v>
      </c>
      <c r="AH95">
        <v>0</v>
      </c>
      <c r="AI95">
        <v>525</v>
      </c>
      <c r="AK95" t="s">
        <v>383</v>
      </c>
      <c r="AL95">
        <v>9553.25</v>
      </c>
      <c r="AM95">
        <v>16098.92</v>
      </c>
      <c r="AO95" t="s">
        <v>383</v>
      </c>
      <c r="AP95">
        <v>9553.25</v>
      </c>
      <c r="AQ95">
        <v>16098.92</v>
      </c>
      <c r="AS95" t="s">
        <v>383</v>
      </c>
      <c r="AT95">
        <v>9553.25</v>
      </c>
      <c r="AU95">
        <v>16098.92</v>
      </c>
    </row>
    <row r="96" spans="1:47" x14ac:dyDescent="0.3">
      <c r="A96" t="s">
        <v>308</v>
      </c>
      <c r="B96" t="s">
        <v>101</v>
      </c>
      <c r="C96" t="s">
        <v>311</v>
      </c>
      <c r="D96">
        <f t="shared" si="6"/>
        <v>15679.67</v>
      </c>
      <c r="E96">
        <f t="shared" si="7"/>
        <v>16950</v>
      </c>
      <c r="F96" s="102">
        <f t="shared" si="9"/>
        <v>0</v>
      </c>
      <c r="G96" t="s">
        <v>376</v>
      </c>
      <c r="J96" s="75">
        <f t="shared" si="8"/>
        <v>0</v>
      </c>
      <c r="L96" t="s">
        <v>377</v>
      </c>
      <c r="M96">
        <v>0</v>
      </c>
      <c r="N96">
        <v>1575</v>
      </c>
      <c r="P96" t="s">
        <v>377</v>
      </c>
      <c r="Q96">
        <v>0</v>
      </c>
      <c r="R96">
        <v>525</v>
      </c>
      <c r="U96" t="s">
        <v>377</v>
      </c>
      <c r="V96">
        <v>0</v>
      </c>
      <c r="W96">
        <v>525</v>
      </c>
      <c r="Y96" t="s">
        <v>377</v>
      </c>
      <c r="Z96">
        <v>0</v>
      </c>
      <c r="AA96">
        <v>525</v>
      </c>
      <c r="AC96" t="s">
        <v>380</v>
      </c>
      <c r="AG96" t="s">
        <v>380</v>
      </c>
      <c r="AK96" t="s">
        <v>384</v>
      </c>
      <c r="AO96" t="s">
        <v>384</v>
      </c>
      <c r="AS96" t="s">
        <v>384</v>
      </c>
    </row>
    <row r="97" spans="1:47" x14ac:dyDescent="0.3">
      <c r="A97" t="s">
        <v>308</v>
      </c>
      <c r="B97" t="s">
        <v>99</v>
      </c>
      <c r="C97" t="s">
        <v>312</v>
      </c>
      <c r="D97">
        <f t="shared" si="6"/>
        <v>0</v>
      </c>
      <c r="E97">
        <f t="shared" si="7"/>
        <v>0</v>
      </c>
      <c r="F97" s="102">
        <f t="shared" si="9"/>
        <v>0</v>
      </c>
      <c r="G97" t="s">
        <v>377</v>
      </c>
      <c r="H97">
        <v>0</v>
      </c>
      <c r="I97">
        <v>1575</v>
      </c>
      <c r="J97" s="75">
        <f t="shared" si="8"/>
        <v>-1575</v>
      </c>
      <c r="L97" t="s">
        <v>299</v>
      </c>
      <c r="M97">
        <v>0</v>
      </c>
      <c r="N97">
        <v>1575</v>
      </c>
      <c r="P97" t="s">
        <v>299</v>
      </c>
      <c r="Q97">
        <v>0</v>
      </c>
      <c r="R97">
        <v>525</v>
      </c>
      <c r="U97" t="s">
        <v>299</v>
      </c>
      <c r="V97">
        <v>0</v>
      </c>
      <c r="W97">
        <v>525</v>
      </c>
      <c r="Y97" t="s">
        <v>299</v>
      </c>
      <c r="Z97">
        <v>0</v>
      </c>
      <c r="AA97">
        <v>525</v>
      </c>
      <c r="AC97" t="s">
        <v>67</v>
      </c>
      <c r="AD97">
        <v>13571.84</v>
      </c>
      <c r="AE97">
        <v>4000</v>
      </c>
      <c r="AG97" t="s">
        <v>67</v>
      </c>
      <c r="AH97">
        <v>13571.84</v>
      </c>
      <c r="AI97">
        <v>4000</v>
      </c>
      <c r="AK97" t="s">
        <v>304</v>
      </c>
      <c r="AL97">
        <v>560</v>
      </c>
      <c r="AM97">
        <v>0</v>
      </c>
      <c r="AO97" t="s">
        <v>304</v>
      </c>
      <c r="AP97">
        <v>560</v>
      </c>
      <c r="AQ97">
        <v>0</v>
      </c>
      <c r="AS97" t="s">
        <v>304</v>
      </c>
      <c r="AT97">
        <v>560</v>
      </c>
      <c r="AU97">
        <v>0</v>
      </c>
    </row>
    <row r="98" spans="1:47" x14ac:dyDescent="0.3">
      <c r="A98" t="s">
        <v>308</v>
      </c>
      <c r="B98" t="s">
        <v>98</v>
      </c>
      <c r="C98" t="s">
        <v>313</v>
      </c>
      <c r="D98">
        <f t="shared" si="6"/>
        <v>132273.57999999999</v>
      </c>
      <c r="E98">
        <f t="shared" si="7"/>
        <v>127094.69</v>
      </c>
      <c r="F98" s="102">
        <f t="shared" si="9"/>
        <v>-1200</v>
      </c>
      <c r="G98" t="s">
        <v>539</v>
      </c>
      <c r="H98">
        <v>1200</v>
      </c>
      <c r="I98">
        <v>0</v>
      </c>
      <c r="J98" s="75">
        <f t="shared" si="8"/>
        <v>0</v>
      </c>
      <c r="L98" t="s">
        <v>378</v>
      </c>
      <c r="P98" t="s">
        <v>378</v>
      </c>
      <c r="U98" t="s">
        <v>380</v>
      </c>
      <c r="Y98" t="s">
        <v>380</v>
      </c>
      <c r="AC98" t="s">
        <v>301</v>
      </c>
      <c r="AD98">
        <v>74.25</v>
      </c>
      <c r="AE98">
        <v>0</v>
      </c>
      <c r="AG98" t="s">
        <v>301</v>
      </c>
      <c r="AH98">
        <v>74.25</v>
      </c>
      <c r="AI98">
        <v>0</v>
      </c>
      <c r="AK98" t="s">
        <v>385</v>
      </c>
      <c r="AL98">
        <v>560</v>
      </c>
      <c r="AM98">
        <v>0</v>
      </c>
      <c r="AO98" t="s">
        <v>385</v>
      </c>
      <c r="AP98">
        <v>560</v>
      </c>
      <c r="AQ98">
        <v>0</v>
      </c>
      <c r="AS98" t="s">
        <v>385</v>
      </c>
      <c r="AT98">
        <v>560</v>
      </c>
      <c r="AU98">
        <v>0</v>
      </c>
    </row>
    <row r="99" spans="1:47" x14ac:dyDescent="0.3">
      <c r="A99" t="s">
        <v>308</v>
      </c>
      <c r="B99" t="s">
        <v>97</v>
      </c>
      <c r="C99" t="s">
        <v>289</v>
      </c>
      <c r="D99">
        <f t="shared" si="6"/>
        <v>23000</v>
      </c>
      <c r="E99">
        <f t="shared" si="7"/>
        <v>28320</v>
      </c>
      <c r="F99" s="102">
        <f t="shared" si="9"/>
        <v>0</v>
      </c>
      <c r="G99" t="s">
        <v>299</v>
      </c>
      <c r="H99">
        <v>1200</v>
      </c>
      <c r="I99">
        <v>1575</v>
      </c>
      <c r="J99" s="75">
        <f t="shared" si="8"/>
        <v>0</v>
      </c>
      <c r="L99" t="s">
        <v>300</v>
      </c>
      <c r="M99">
        <v>4000</v>
      </c>
      <c r="N99">
        <v>0</v>
      </c>
      <c r="P99" t="s">
        <v>74</v>
      </c>
      <c r="Q99">
        <v>0</v>
      </c>
      <c r="R99">
        <v>1000</v>
      </c>
      <c r="U99" t="s">
        <v>67</v>
      </c>
      <c r="V99">
        <v>17571.84</v>
      </c>
      <c r="W99">
        <v>8000</v>
      </c>
      <c r="Y99" t="s">
        <v>67</v>
      </c>
      <c r="Z99">
        <v>17571.84</v>
      </c>
      <c r="AA99">
        <v>8000</v>
      </c>
      <c r="AC99" t="s">
        <v>381</v>
      </c>
      <c r="AD99">
        <v>13646.09</v>
      </c>
      <c r="AE99">
        <v>4000</v>
      </c>
      <c r="AG99" t="s">
        <v>381</v>
      </c>
      <c r="AH99">
        <v>13646.09</v>
      </c>
      <c r="AI99">
        <v>4000</v>
      </c>
      <c r="AK99" t="s">
        <v>386</v>
      </c>
      <c r="AL99">
        <v>46533.5</v>
      </c>
      <c r="AM99">
        <v>24222.17</v>
      </c>
      <c r="AO99" t="s">
        <v>386</v>
      </c>
      <c r="AP99">
        <v>46533.5</v>
      </c>
      <c r="AQ99">
        <v>24222.17</v>
      </c>
      <c r="AS99" t="s">
        <v>386</v>
      </c>
      <c r="AT99">
        <v>46533.5</v>
      </c>
      <c r="AU99">
        <v>24222.17</v>
      </c>
    </row>
    <row r="100" spans="1:47" x14ac:dyDescent="0.3">
      <c r="A100" t="s">
        <v>308</v>
      </c>
      <c r="B100" t="s">
        <v>100</v>
      </c>
      <c r="C100" t="s">
        <v>100</v>
      </c>
      <c r="D100">
        <f t="shared" si="6"/>
        <v>1325</v>
      </c>
      <c r="E100">
        <f t="shared" si="7"/>
        <v>3175</v>
      </c>
      <c r="F100" s="102">
        <f t="shared" si="9"/>
        <v>0</v>
      </c>
      <c r="G100" t="s">
        <v>378</v>
      </c>
      <c r="J100" s="75">
        <f t="shared" ref="J100:J148" si="10">SUMIFS(E:E,C:C,G100)-I100</f>
        <v>0</v>
      </c>
      <c r="L100" t="s">
        <v>74</v>
      </c>
      <c r="M100">
        <v>611</v>
      </c>
      <c r="N100">
        <v>1000</v>
      </c>
      <c r="P100" t="s">
        <v>379</v>
      </c>
      <c r="Q100">
        <v>0</v>
      </c>
      <c r="R100">
        <v>1000</v>
      </c>
      <c r="U100" t="s">
        <v>301</v>
      </c>
      <c r="V100">
        <v>74.25</v>
      </c>
      <c r="W100">
        <v>120</v>
      </c>
      <c r="Y100" t="s">
        <v>301</v>
      </c>
      <c r="Z100">
        <v>74.25</v>
      </c>
      <c r="AA100">
        <v>120</v>
      </c>
      <c r="AC100" t="s">
        <v>382</v>
      </c>
      <c r="AG100" t="s">
        <v>382</v>
      </c>
      <c r="AK100" t="s">
        <v>387</v>
      </c>
      <c r="AO100" t="s">
        <v>387</v>
      </c>
      <c r="AS100" t="s">
        <v>387</v>
      </c>
    </row>
    <row r="101" spans="1:47" x14ac:dyDescent="0.3">
      <c r="A101" t="s">
        <v>253</v>
      </c>
      <c r="B101" t="s">
        <v>18</v>
      </c>
      <c r="C101" t="s">
        <v>314</v>
      </c>
      <c r="D101">
        <f t="shared" si="6"/>
        <v>21000</v>
      </c>
      <c r="E101">
        <f t="shared" si="7"/>
        <v>21000</v>
      </c>
      <c r="F101" s="102">
        <f t="shared" ref="F101:F148" si="11">SUMIFS(D:D,C:C,G101)-H101</f>
        <v>0</v>
      </c>
      <c r="G101" t="s">
        <v>300</v>
      </c>
      <c r="H101">
        <v>4831.78</v>
      </c>
      <c r="I101">
        <v>0</v>
      </c>
      <c r="J101" s="75">
        <f t="shared" si="10"/>
        <v>0</v>
      </c>
      <c r="L101" t="s">
        <v>379</v>
      </c>
      <c r="M101">
        <v>4611</v>
      </c>
      <c r="N101">
        <v>1000</v>
      </c>
      <c r="P101" t="s">
        <v>380</v>
      </c>
      <c r="U101" t="s">
        <v>381</v>
      </c>
      <c r="V101">
        <v>17646.09</v>
      </c>
      <c r="W101">
        <v>8120</v>
      </c>
      <c r="Y101" t="s">
        <v>381</v>
      </c>
      <c r="Z101">
        <v>17646.09</v>
      </c>
      <c r="AA101">
        <v>8120</v>
      </c>
      <c r="AC101" t="s">
        <v>302</v>
      </c>
      <c r="AD101">
        <v>10951.99</v>
      </c>
      <c r="AE101">
        <v>23883.81</v>
      </c>
      <c r="AG101" t="s">
        <v>302</v>
      </c>
      <c r="AH101">
        <v>10951.99</v>
      </c>
      <c r="AI101">
        <v>23883.81</v>
      </c>
      <c r="AK101" t="s">
        <v>388</v>
      </c>
      <c r="AO101" t="s">
        <v>388</v>
      </c>
      <c r="AS101" t="s">
        <v>388</v>
      </c>
    </row>
    <row r="102" spans="1:47" x14ac:dyDescent="0.3">
      <c r="A102" t="s">
        <v>262</v>
      </c>
      <c r="B102" t="s">
        <v>88</v>
      </c>
      <c r="C102" t="s">
        <v>315</v>
      </c>
      <c r="D102">
        <f t="shared" si="6"/>
        <v>0</v>
      </c>
      <c r="E102">
        <f t="shared" si="7"/>
        <v>0</v>
      </c>
      <c r="F102" s="102">
        <f t="shared" si="11"/>
        <v>0</v>
      </c>
      <c r="G102" t="s">
        <v>74</v>
      </c>
      <c r="H102">
        <v>611</v>
      </c>
      <c r="I102">
        <v>1000</v>
      </c>
      <c r="J102" s="75">
        <f t="shared" si="10"/>
        <v>0</v>
      </c>
      <c r="L102" t="s">
        <v>380</v>
      </c>
      <c r="P102" t="s">
        <v>67</v>
      </c>
      <c r="Q102">
        <v>21571.84</v>
      </c>
      <c r="R102">
        <v>20275</v>
      </c>
      <c r="U102" t="s">
        <v>382</v>
      </c>
      <c r="Y102" t="s">
        <v>382</v>
      </c>
      <c r="AC102" t="s">
        <v>383</v>
      </c>
      <c r="AD102">
        <v>10951.99</v>
      </c>
      <c r="AE102">
        <v>23883.81</v>
      </c>
      <c r="AG102" t="s">
        <v>383</v>
      </c>
      <c r="AH102">
        <v>10951.99</v>
      </c>
      <c r="AI102">
        <v>23883.81</v>
      </c>
      <c r="AK102" t="s">
        <v>309</v>
      </c>
      <c r="AL102">
        <v>10452.61</v>
      </c>
      <c r="AM102">
        <v>2772</v>
      </c>
      <c r="AO102" t="s">
        <v>309</v>
      </c>
      <c r="AP102">
        <v>10452.61</v>
      </c>
      <c r="AQ102">
        <v>2772</v>
      </c>
      <c r="AS102" t="s">
        <v>309</v>
      </c>
      <c r="AT102">
        <v>10452.61</v>
      </c>
      <c r="AU102">
        <v>2772</v>
      </c>
    </row>
    <row r="103" spans="1:47" x14ac:dyDescent="0.3">
      <c r="A103" t="s">
        <v>262</v>
      </c>
      <c r="B103" t="s">
        <v>316</v>
      </c>
      <c r="C103" t="s">
        <v>317</v>
      </c>
      <c r="D103">
        <f t="shared" si="6"/>
        <v>0</v>
      </c>
      <c r="E103">
        <f t="shared" si="7"/>
        <v>0</v>
      </c>
      <c r="F103" s="102">
        <f t="shared" si="11"/>
        <v>-5442.78</v>
      </c>
      <c r="G103" t="s">
        <v>379</v>
      </c>
      <c r="H103">
        <v>5442.78</v>
      </c>
      <c r="I103">
        <v>1000</v>
      </c>
      <c r="J103" s="75">
        <f t="shared" si="10"/>
        <v>-1000</v>
      </c>
      <c r="L103" t="s">
        <v>67</v>
      </c>
      <c r="M103">
        <v>25871.84</v>
      </c>
      <c r="N103">
        <v>20275</v>
      </c>
      <c r="P103" t="s">
        <v>301</v>
      </c>
      <c r="Q103">
        <v>74.25</v>
      </c>
      <c r="R103">
        <v>876.45</v>
      </c>
      <c r="U103" t="s">
        <v>302</v>
      </c>
      <c r="V103">
        <v>34027.769999999997</v>
      </c>
      <c r="W103">
        <v>41892.720000000001</v>
      </c>
      <c r="Y103" t="s">
        <v>302</v>
      </c>
      <c r="Z103">
        <v>34027.769999999997</v>
      </c>
      <c r="AA103">
        <v>41892.720000000001</v>
      </c>
      <c r="AC103" t="s">
        <v>384</v>
      </c>
      <c r="AG103" t="s">
        <v>384</v>
      </c>
      <c r="AK103" t="s">
        <v>310</v>
      </c>
      <c r="AL103">
        <v>23812.5</v>
      </c>
      <c r="AM103">
        <v>26584.5</v>
      </c>
      <c r="AO103" t="s">
        <v>310</v>
      </c>
      <c r="AP103">
        <v>23812.5</v>
      </c>
      <c r="AQ103">
        <v>26584.5</v>
      </c>
      <c r="AS103" t="s">
        <v>310</v>
      </c>
      <c r="AT103">
        <v>23812.5</v>
      </c>
      <c r="AU103">
        <v>26584.5</v>
      </c>
    </row>
    <row r="104" spans="1:47" x14ac:dyDescent="0.3">
      <c r="A104" t="s">
        <v>262</v>
      </c>
      <c r="B104" t="s">
        <v>90</v>
      </c>
      <c r="C104" t="s">
        <v>318</v>
      </c>
      <c r="D104">
        <f t="shared" si="6"/>
        <v>6081</v>
      </c>
      <c r="E104">
        <f t="shared" si="7"/>
        <v>0</v>
      </c>
      <c r="F104" s="102">
        <f t="shared" si="11"/>
        <v>0</v>
      </c>
      <c r="G104" t="s">
        <v>380</v>
      </c>
      <c r="J104" s="75">
        <f t="shared" si="10"/>
        <v>0</v>
      </c>
      <c r="L104" t="s">
        <v>301</v>
      </c>
      <c r="M104">
        <v>1150.05</v>
      </c>
      <c r="N104">
        <v>1419.95</v>
      </c>
      <c r="P104" t="s">
        <v>381</v>
      </c>
      <c r="Q104">
        <v>21646.09</v>
      </c>
      <c r="R104">
        <v>21151.45</v>
      </c>
      <c r="U104" t="s">
        <v>383</v>
      </c>
      <c r="V104">
        <v>34027.769999999997</v>
      </c>
      <c r="W104">
        <v>41892.720000000001</v>
      </c>
      <c r="Y104" t="s">
        <v>383</v>
      </c>
      <c r="Z104">
        <v>34027.769999999997</v>
      </c>
      <c r="AA104">
        <v>41892.720000000001</v>
      </c>
      <c r="AC104" t="s">
        <v>79</v>
      </c>
      <c r="AD104">
        <v>3071.42</v>
      </c>
      <c r="AE104">
        <v>0</v>
      </c>
      <c r="AG104" t="s">
        <v>79</v>
      </c>
      <c r="AH104">
        <v>3071.42</v>
      </c>
      <c r="AI104">
        <v>0</v>
      </c>
      <c r="AK104" t="s">
        <v>311</v>
      </c>
      <c r="AL104">
        <v>0</v>
      </c>
      <c r="AM104">
        <v>2600</v>
      </c>
      <c r="AO104" t="s">
        <v>311</v>
      </c>
      <c r="AP104">
        <v>0</v>
      </c>
      <c r="AQ104">
        <v>2600</v>
      </c>
      <c r="AS104" t="s">
        <v>311</v>
      </c>
      <c r="AT104">
        <v>0</v>
      </c>
      <c r="AU104">
        <v>2600</v>
      </c>
    </row>
    <row r="105" spans="1:47" x14ac:dyDescent="0.3">
      <c r="A105" t="s">
        <v>262</v>
      </c>
      <c r="B105" t="s">
        <v>89</v>
      </c>
      <c r="C105" t="s">
        <v>319</v>
      </c>
      <c r="D105">
        <f t="shared" si="6"/>
        <v>2380</v>
      </c>
      <c r="E105">
        <f t="shared" si="7"/>
        <v>2475</v>
      </c>
      <c r="F105" s="102">
        <f t="shared" si="11"/>
        <v>0</v>
      </c>
      <c r="G105" t="s">
        <v>67</v>
      </c>
      <c r="H105">
        <v>29871.84</v>
      </c>
      <c r="I105">
        <v>28875</v>
      </c>
      <c r="J105" s="75">
        <f t="shared" si="10"/>
        <v>0</v>
      </c>
      <c r="L105" t="s">
        <v>381</v>
      </c>
      <c r="M105">
        <v>27021.89</v>
      </c>
      <c r="N105">
        <v>21694.95</v>
      </c>
      <c r="P105" t="s">
        <v>382</v>
      </c>
      <c r="U105" t="s">
        <v>384</v>
      </c>
      <c r="Y105" t="s">
        <v>384</v>
      </c>
      <c r="AC105" t="s">
        <v>304</v>
      </c>
      <c r="AD105">
        <v>560</v>
      </c>
      <c r="AE105">
        <v>0</v>
      </c>
      <c r="AG105" t="s">
        <v>304</v>
      </c>
      <c r="AH105">
        <v>560</v>
      </c>
      <c r="AI105">
        <v>0</v>
      </c>
      <c r="AK105" t="s">
        <v>313</v>
      </c>
      <c r="AL105">
        <v>27499.24</v>
      </c>
      <c r="AM105">
        <v>125</v>
      </c>
      <c r="AO105" t="s">
        <v>313</v>
      </c>
      <c r="AP105">
        <v>27499.24</v>
      </c>
      <c r="AQ105">
        <v>125</v>
      </c>
      <c r="AS105" t="s">
        <v>313</v>
      </c>
      <c r="AT105">
        <v>27499.24</v>
      </c>
      <c r="AU105">
        <v>125</v>
      </c>
    </row>
    <row r="106" spans="1:47" x14ac:dyDescent="0.3">
      <c r="A106" t="s">
        <v>262</v>
      </c>
      <c r="B106" t="s">
        <v>91</v>
      </c>
      <c r="C106" t="s">
        <v>320</v>
      </c>
      <c r="D106">
        <f t="shared" si="6"/>
        <v>12625</v>
      </c>
      <c r="E106">
        <f t="shared" si="7"/>
        <v>15675</v>
      </c>
      <c r="F106" s="102">
        <f t="shared" si="11"/>
        <v>0</v>
      </c>
      <c r="G106" t="s">
        <v>301</v>
      </c>
      <c r="H106">
        <v>1722.41</v>
      </c>
      <c r="I106">
        <v>1419.95</v>
      </c>
      <c r="J106" s="75">
        <f t="shared" si="10"/>
        <v>0</v>
      </c>
      <c r="L106" t="s">
        <v>382</v>
      </c>
      <c r="P106" t="s">
        <v>302</v>
      </c>
      <c r="Q106">
        <v>38404.400000000001</v>
      </c>
      <c r="R106">
        <v>52617.11</v>
      </c>
      <c r="U106" t="s">
        <v>79</v>
      </c>
      <c r="V106">
        <v>3071.42</v>
      </c>
      <c r="W106">
        <v>0</v>
      </c>
      <c r="Y106" t="s">
        <v>79</v>
      </c>
      <c r="Z106">
        <v>3071.42</v>
      </c>
      <c r="AA106">
        <v>0</v>
      </c>
      <c r="AC106" t="s">
        <v>385</v>
      </c>
      <c r="AD106">
        <v>3631.42</v>
      </c>
      <c r="AE106">
        <v>0</v>
      </c>
      <c r="AG106" t="s">
        <v>385</v>
      </c>
      <c r="AH106">
        <v>3631.42</v>
      </c>
      <c r="AI106">
        <v>0</v>
      </c>
      <c r="AK106" t="s">
        <v>289</v>
      </c>
      <c r="AL106">
        <v>9500</v>
      </c>
      <c r="AM106">
        <v>0</v>
      </c>
      <c r="AO106" t="s">
        <v>289</v>
      </c>
      <c r="AP106">
        <v>9500</v>
      </c>
      <c r="AQ106">
        <v>0</v>
      </c>
      <c r="AS106" t="s">
        <v>289</v>
      </c>
      <c r="AT106">
        <v>9500</v>
      </c>
      <c r="AU106">
        <v>0</v>
      </c>
    </row>
    <row r="107" spans="1:47" x14ac:dyDescent="0.3">
      <c r="A107" t="s">
        <v>262</v>
      </c>
      <c r="B107" t="s">
        <v>92</v>
      </c>
      <c r="C107" t="s">
        <v>321</v>
      </c>
      <c r="D107">
        <f t="shared" si="6"/>
        <v>2045</v>
      </c>
      <c r="E107">
        <f t="shared" si="7"/>
        <v>100</v>
      </c>
      <c r="F107" s="102">
        <f t="shared" si="11"/>
        <v>-31594.25</v>
      </c>
      <c r="G107" t="s">
        <v>381</v>
      </c>
      <c r="H107">
        <v>31594.25</v>
      </c>
      <c r="I107">
        <v>30294.95</v>
      </c>
      <c r="J107" s="75">
        <f t="shared" si="10"/>
        <v>-30294.95</v>
      </c>
      <c r="L107" t="s">
        <v>302</v>
      </c>
      <c r="M107">
        <v>70574.350000000006</v>
      </c>
      <c r="N107">
        <v>73348.639999999999</v>
      </c>
      <c r="P107" t="s">
        <v>383</v>
      </c>
      <c r="Q107">
        <v>38404.400000000001</v>
      </c>
      <c r="R107">
        <v>52617.11</v>
      </c>
      <c r="U107" t="s">
        <v>304</v>
      </c>
      <c r="V107">
        <v>560</v>
      </c>
      <c r="W107">
        <v>0</v>
      </c>
      <c r="Y107" t="s">
        <v>304</v>
      </c>
      <c r="Z107">
        <v>560</v>
      </c>
      <c r="AA107">
        <v>0</v>
      </c>
      <c r="AC107" t="s">
        <v>386</v>
      </c>
      <c r="AD107">
        <v>48964.17</v>
      </c>
      <c r="AE107">
        <v>36007.06</v>
      </c>
      <c r="AG107" t="s">
        <v>386</v>
      </c>
      <c r="AH107">
        <v>58561.77</v>
      </c>
      <c r="AI107">
        <v>36007.06</v>
      </c>
      <c r="AK107" t="s">
        <v>100</v>
      </c>
      <c r="AL107">
        <v>350</v>
      </c>
      <c r="AM107">
        <v>725</v>
      </c>
      <c r="AO107" t="s">
        <v>100</v>
      </c>
      <c r="AP107">
        <v>350</v>
      </c>
      <c r="AQ107">
        <v>725</v>
      </c>
      <c r="AS107" t="s">
        <v>100</v>
      </c>
      <c r="AT107">
        <v>350</v>
      </c>
      <c r="AU107">
        <v>725</v>
      </c>
    </row>
    <row r="108" spans="1:47" x14ac:dyDescent="0.3">
      <c r="A108" t="s">
        <v>253</v>
      </c>
      <c r="B108" t="s">
        <v>234</v>
      </c>
      <c r="C108" t="s">
        <v>322</v>
      </c>
      <c r="D108">
        <f t="shared" si="6"/>
        <v>6752.93</v>
      </c>
      <c r="E108">
        <f t="shared" si="7"/>
        <v>8347.02</v>
      </c>
      <c r="F108" s="102">
        <f t="shared" si="11"/>
        <v>0</v>
      </c>
      <c r="G108" t="s">
        <v>382</v>
      </c>
      <c r="J108" s="75">
        <f t="shared" si="10"/>
        <v>0</v>
      </c>
      <c r="L108" t="s">
        <v>383</v>
      </c>
      <c r="M108">
        <v>70574.350000000006</v>
      </c>
      <c r="N108">
        <v>73348.639999999999</v>
      </c>
      <c r="P108" t="s">
        <v>384</v>
      </c>
      <c r="U108" t="s">
        <v>385</v>
      </c>
      <c r="V108">
        <v>3631.42</v>
      </c>
      <c r="W108">
        <v>0</v>
      </c>
      <c r="Y108" t="s">
        <v>385</v>
      </c>
      <c r="Z108">
        <v>3631.42</v>
      </c>
      <c r="AA108">
        <v>0</v>
      </c>
      <c r="AC108" t="s">
        <v>387</v>
      </c>
      <c r="AG108" t="s">
        <v>387</v>
      </c>
      <c r="AK108" t="s">
        <v>389</v>
      </c>
      <c r="AL108">
        <v>71614.350000000006</v>
      </c>
      <c r="AM108">
        <v>32806.5</v>
      </c>
      <c r="AO108" t="s">
        <v>389</v>
      </c>
      <c r="AP108">
        <v>71614.350000000006</v>
      </c>
      <c r="AQ108">
        <v>32806.5</v>
      </c>
      <c r="AS108" t="s">
        <v>389</v>
      </c>
      <c r="AT108">
        <v>71614.350000000006</v>
      </c>
      <c r="AU108">
        <v>32806.5</v>
      </c>
    </row>
    <row r="109" spans="1:47" x14ac:dyDescent="0.3">
      <c r="A109" t="s">
        <v>262</v>
      </c>
      <c r="B109" t="s">
        <v>323</v>
      </c>
      <c r="C109" t="s">
        <v>323</v>
      </c>
      <c r="D109">
        <f t="shared" si="6"/>
        <v>0</v>
      </c>
      <c r="E109">
        <f t="shared" si="7"/>
        <v>0</v>
      </c>
      <c r="F109" s="102">
        <f t="shared" si="11"/>
        <v>0</v>
      </c>
      <c r="G109" t="s">
        <v>302</v>
      </c>
      <c r="H109">
        <v>130223.16</v>
      </c>
      <c r="I109">
        <v>125504.61</v>
      </c>
      <c r="J109" s="75">
        <f t="shared" si="10"/>
        <v>0</v>
      </c>
      <c r="L109" t="s">
        <v>384</v>
      </c>
      <c r="P109" t="s">
        <v>79</v>
      </c>
      <c r="Q109">
        <v>3071.42</v>
      </c>
      <c r="R109">
        <v>0</v>
      </c>
      <c r="U109" t="s">
        <v>386</v>
      </c>
      <c r="V109">
        <v>74747.289999999994</v>
      </c>
      <c r="W109">
        <v>69884.25</v>
      </c>
      <c r="Y109" t="s">
        <v>386</v>
      </c>
      <c r="Z109">
        <v>74747.289999999994</v>
      </c>
      <c r="AA109">
        <v>69884.25</v>
      </c>
      <c r="AC109" t="s">
        <v>306</v>
      </c>
      <c r="AD109">
        <v>100.01</v>
      </c>
      <c r="AE109">
        <v>0</v>
      </c>
      <c r="AG109" t="s">
        <v>306</v>
      </c>
      <c r="AH109">
        <v>100.01</v>
      </c>
      <c r="AI109">
        <v>0</v>
      </c>
      <c r="AK109" t="s">
        <v>314</v>
      </c>
      <c r="AL109">
        <v>3500</v>
      </c>
      <c r="AM109">
        <v>3500</v>
      </c>
      <c r="AO109" t="s">
        <v>314</v>
      </c>
      <c r="AP109">
        <v>3500</v>
      </c>
      <c r="AQ109">
        <v>3500</v>
      </c>
      <c r="AS109" t="s">
        <v>314</v>
      </c>
      <c r="AT109">
        <v>3500</v>
      </c>
      <c r="AU109">
        <v>3500</v>
      </c>
    </row>
    <row r="110" spans="1:47" x14ac:dyDescent="0.3">
      <c r="A110" t="s">
        <v>253</v>
      </c>
      <c r="B110" t="s">
        <v>17</v>
      </c>
      <c r="C110" t="s">
        <v>324</v>
      </c>
      <c r="D110">
        <f t="shared" si="6"/>
        <v>12983.57</v>
      </c>
      <c r="E110">
        <f t="shared" si="7"/>
        <v>18837.5</v>
      </c>
      <c r="F110" s="102">
        <f t="shared" si="11"/>
        <v>-130223.16</v>
      </c>
      <c r="G110" t="s">
        <v>383</v>
      </c>
      <c r="H110">
        <v>130223.16</v>
      </c>
      <c r="I110">
        <v>125504.61</v>
      </c>
      <c r="J110" s="75">
        <f t="shared" si="10"/>
        <v>-125504.61</v>
      </c>
      <c r="L110" t="s">
        <v>77</v>
      </c>
      <c r="M110">
        <v>2500</v>
      </c>
      <c r="N110">
        <v>2500</v>
      </c>
      <c r="P110" t="s">
        <v>304</v>
      </c>
      <c r="Q110">
        <v>560</v>
      </c>
      <c r="R110">
        <v>0</v>
      </c>
      <c r="U110" t="s">
        <v>387</v>
      </c>
      <c r="Y110" t="s">
        <v>387</v>
      </c>
      <c r="AC110" t="s">
        <v>388</v>
      </c>
      <c r="AG110" t="s">
        <v>388</v>
      </c>
      <c r="AK110" t="s">
        <v>390</v>
      </c>
      <c r="AO110" t="s">
        <v>390</v>
      </c>
      <c r="AS110" t="s">
        <v>390</v>
      </c>
    </row>
    <row r="111" spans="1:47" x14ac:dyDescent="0.3">
      <c r="A111" t="s">
        <v>253</v>
      </c>
      <c r="B111" t="s">
        <v>42</v>
      </c>
      <c r="C111" t="s">
        <v>325</v>
      </c>
      <c r="D111">
        <f t="shared" si="6"/>
        <v>3504.79</v>
      </c>
      <c r="E111">
        <f t="shared" si="7"/>
        <v>9963.2000000000007</v>
      </c>
      <c r="F111" s="102">
        <f t="shared" si="11"/>
        <v>0</v>
      </c>
      <c r="G111" t="s">
        <v>384</v>
      </c>
      <c r="J111" s="75">
        <f t="shared" si="10"/>
        <v>0</v>
      </c>
      <c r="L111" t="s">
        <v>79</v>
      </c>
      <c r="M111">
        <v>3071.42</v>
      </c>
      <c r="N111">
        <v>0</v>
      </c>
      <c r="P111" t="s">
        <v>385</v>
      </c>
      <c r="Q111">
        <v>3631.42</v>
      </c>
      <c r="R111">
        <v>0</v>
      </c>
      <c r="U111" t="s">
        <v>306</v>
      </c>
      <c r="V111">
        <v>1276.48</v>
      </c>
      <c r="W111">
        <v>6203.99</v>
      </c>
      <c r="Y111" t="s">
        <v>306</v>
      </c>
      <c r="Z111">
        <v>1276.48</v>
      </c>
      <c r="AA111">
        <v>6203.99</v>
      </c>
      <c r="AC111" t="s">
        <v>309</v>
      </c>
      <c r="AD111">
        <v>17277.61</v>
      </c>
      <c r="AE111">
        <v>2772</v>
      </c>
      <c r="AG111" t="s">
        <v>309</v>
      </c>
      <c r="AH111">
        <v>17277.61</v>
      </c>
      <c r="AI111">
        <v>2772</v>
      </c>
      <c r="AK111" t="s">
        <v>320</v>
      </c>
      <c r="AL111">
        <v>250</v>
      </c>
      <c r="AM111">
        <v>14425</v>
      </c>
      <c r="AO111" t="s">
        <v>320</v>
      </c>
      <c r="AP111">
        <v>0</v>
      </c>
      <c r="AQ111">
        <v>14425</v>
      </c>
      <c r="AS111" t="s">
        <v>320</v>
      </c>
      <c r="AT111">
        <v>0</v>
      </c>
      <c r="AU111">
        <v>14425</v>
      </c>
    </row>
    <row r="112" spans="1:47" x14ac:dyDescent="0.3">
      <c r="A112" t="s">
        <v>253</v>
      </c>
      <c r="B112" t="s">
        <v>36</v>
      </c>
      <c r="C112" t="s">
        <v>326</v>
      </c>
      <c r="D112">
        <f t="shared" si="6"/>
        <v>0</v>
      </c>
      <c r="E112">
        <f t="shared" si="7"/>
        <v>0</v>
      </c>
      <c r="F112" s="102">
        <f t="shared" si="11"/>
        <v>0</v>
      </c>
      <c r="G112" t="s">
        <v>77</v>
      </c>
      <c r="H112">
        <v>2500</v>
      </c>
      <c r="I112">
        <v>2500</v>
      </c>
      <c r="J112" s="75">
        <f t="shared" si="10"/>
        <v>0</v>
      </c>
      <c r="L112" t="s">
        <v>304</v>
      </c>
      <c r="M112">
        <v>560</v>
      </c>
      <c r="N112">
        <v>0</v>
      </c>
      <c r="P112" t="s">
        <v>386</v>
      </c>
      <c r="Q112">
        <v>84142.79</v>
      </c>
      <c r="R112">
        <v>100226.82</v>
      </c>
      <c r="U112" t="s">
        <v>388</v>
      </c>
      <c r="Y112" t="s">
        <v>388</v>
      </c>
      <c r="AC112" t="s">
        <v>310</v>
      </c>
      <c r="AD112">
        <v>23812.5</v>
      </c>
      <c r="AE112">
        <v>26584.5</v>
      </c>
      <c r="AG112" t="s">
        <v>310</v>
      </c>
      <c r="AH112">
        <v>23812.5</v>
      </c>
      <c r="AI112">
        <v>26584.5</v>
      </c>
      <c r="AK112" t="s">
        <v>322</v>
      </c>
      <c r="AL112">
        <v>1458.8</v>
      </c>
      <c r="AM112">
        <v>1371.9</v>
      </c>
      <c r="AO112" t="s">
        <v>321</v>
      </c>
      <c r="AP112">
        <v>250</v>
      </c>
      <c r="AQ112">
        <v>0</v>
      </c>
      <c r="AS112" t="s">
        <v>321</v>
      </c>
      <c r="AT112">
        <v>250</v>
      </c>
      <c r="AU112">
        <v>0</v>
      </c>
    </row>
    <row r="113" spans="1:47" x14ac:dyDescent="0.3">
      <c r="A113" t="s">
        <v>253</v>
      </c>
      <c r="B113" t="s">
        <v>39</v>
      </c>
      <c r="C113" t="s">
        <v>327</v>
      </c>
      <c r="D113">
        <f t="shared" si="6"/>
        <v>5405.67</v>
      </c>
      <c r="E113">
        <f t="shared" si="7"/>
        <v>8055.56</v>
      </c>
      <c r="F113" s="102">
        <f t="shared" si="11"/>
        <v>0</v>
      </c>
      <c r="G113" t="s">
        <v>79</v>
      </c>
      <c r="H113">
        <v>3071.42</v>
      </c>
      <c r="I113">
        <v>0</v>
      </c>
      <c r="J113" s="75">
        <f t="shared" si="10"/>
        <v>0</v>
      </c>
      <c r="L113" t="s">
        <v>385</v>
      </c>
      <c r="M113">
        <v>6131.42</v>
      </c>
      <c r="N113">
        <v>2500</v>
      </c>
      <c r="P113" t="s">
        <v>387</v>
      </c>
      <c r="U113" t="s">
        <v>309</v>
      </c>
      <c r="V113">
        <v>23507.61</v>
      </c>
      <c r="W113">
        <v>2772</v>
      </c>
      <c r="Y113" t="s">
        <v>309</v>
      </c>
      <c r="Z113">
        <v>23507.61</v>
      </c>
      <c r="AA113">
        <v>2772</v>
      </c>
      <c r="AC113" t="s">
        <v>311</v>
      </c>
      <c r="AD113">
        <v>5079.67</v>
      </c>
      <c r="AE113">
        <v>2900</v>
      </c>
      <c r="AG113" t="s">
        <v>311</v>
      </c>
      <c r="AH113">
        <v>5079.67</v>
      </c>
      <c r="AI113">
        <v>2900</v>
      </c>
      <c r="AK113" t="s">
        <v>391</v>
      </c>
      <c r="AL113">
        <v>1708.8</v>
      </c>
      <c r="AM113">
        <v>15796.9</v>
      </c>
      <c r="AO113" t="s">
        <v>322</v>
      </c>
      <c r="AP113">
        <v>1458.8</v>
      </c>
      <c r="AQ113">
        <v>1371.9</v>
      </c>
      <c r="AS113" t="s">
        <v>322</v>
      </c>
      <c r="AT113">
        <v>1458.8</v>
      </c>
      <c r="AU113">
        <v>1371.9</v>
      </c>
    </row>
    <row r="114" spans="1:47" x14ac:dyDescent="0.3">
      <c r="A114" t="s">
        <v>253</v>
      </c>
      <c r="B114" t="s">
        <v>40</v>
      </c>
      <c r="C114" t="s">
        <v>328</v>
      </c>
      <c r="D114">
        <f t="shared" si="6"/>
        <v>9554</v>
      </c>
      <c r="E114">
        <f t="shared" si="7"/>
        <v>12400.41</v>
      </c>
      <c r="F114" s="102">
        <f t="shared" si="11"/>
        <v>0</v>
      </c>
      <c r="G114" t="s">
        <v>304</v>
      </c>
      <c r="H114">
        <v>560</v>
      </c>
      <c r="I114">
        <v>0</v>
      </c>
      <c r="J114" s="75">
        <f t="shared" si="10"/>
        <v>0</v>
      </c>
      <c r="L114" t="s">
        <v>386</v>
      </c>
      <c r="M114">
        <v>128799.54</v>
      </c>
      <c r="N114">
        <v>126718.49</v>
      </c>
      <c r="P114" t="s">
        <v>306</v>
      </c>
      <c r="Q114">
        <v>1276.48</v>
      </c>
      <c r="R114">
        <v>6342.14</v>
      </c>
      <c r="U114" t="s">
        <v>310</v>
      </c>
      <c r="V114">
        <v>44005.5</v>
      </c>
      <c r="W114">
        <v>26584.5</v>
      </c>
      <c r="Y114" t="s">
        <v>310</v>
      </c>
      <c r="Z114">
        <v>44005.5</v>
      </c>
      <c r="AA114">
        <v>26584.5</v>
      </c>
      <c r="AC114" t="s">
        <v>313</v>
      </c>
      <c r="AD114">
        <v>79845.3</v>
      </c>
      <c r="AE114">
        <v>25048.23</v>
      </c>
      <c r="AG114" t="s">
        <v>313</v>
      </c>
      <c r="AH114">
        <v>79845.3</v>
      </c>
      <c r="AI114">
        <v>25048.23</v>
      </c>
      <c r="AK114" t="s">
        <v>324</v>
      </c>
      <c r="AL114">
        <v>375</v>
      </c>
      <c r="AM114">
        <v>0</v>
      </c>
      <c r="AO114" t="s">
        <v>391</v>
      </c>
      <c r="AP114">
        <v>1708.8</v>
      </c>
      <c r="AQ114">
        <v>15796.9</v>
      </c>
      <c r="AS114" t="s">
        <v>391</v>
      </c>
      <c r="AT114">
        <v>1708.8</v>
      </c>
      <c r="AU114">
        <v>15796.9</v>
      </c>
    </row>
    <row r="115" spans="1:47" x14ac:dyDescent="0.3">
      <c r="A115" t="s">
        <v>253</v>
      </c>
      <c r="B115" t="s">
        <v>37</v>
      </c>
      <c r="C115" t="s">
        <v>329</v>
      </c>
      <c r="D115">
        <f t="shared" si="6"/>
        <v>2500</v>
      </c>
      <c r="E115">
        <f t="shared" si="7"/>
        <v>20017.5</v>
      </c>
      <c r="F115" s="102">
        <f t="shared" si="11"/>
        <v>-6131.42</v>
      </c>
      <c r="G115" t="s">
        <v>385</v>
      </c>
      <c r="H115">
        <v>6131.42</v>
      </c>
      <c r="I115">
        <v>2500</v>
      </c>
      <c r="J115" s="75">
        <f t="shared" si="10"/>
        <v>-2500</v>
      </c>
      <c r="L115" t="s">
        <v>387</v>
      </c>
      <c r="P115" t="s">
        <v>388</v>
      </c>
      <c r="U115" t="s">
        <v>311</v>
      </c>
      <c r="V115">
        <v>7079.67</v>
      </c>
      <c r="W115">
        <v>6900</v>
      </c>
      <c r="Y115" t="s">
        <v>311</v>
      </c>
      <c r="Z115">
        <v>7079.67</v>
      </c>
      <c r="AA115">
        <v>6900</v>
      </c>
      <c r="AC115" t="s">
        <v>289</v>
      </c>
      <c r="AD115">
        <v>9500</v>
      </c>
      <c r="AE115">
        <v>0</v>
      </c>
      <c r="AG115" t="s">
        <v>289</v>
      </c>
      <c r="AH115">
        <v>9500</v>
      </c>
      <c r="AI115">
        <v>0</v>
      </c>
      <c r="AK115" t="s">
        <v>392</v>
      </c>
      <c r="AL115">
        <v>77198.149999999994</v>
      </c>
      <c r="AM115">
        <v>52103.4</v>
      </c>
      <c r="AO115" t="s">
        <v>324</v>
      </c>
      <c r="AP115">
        <v>375</v>
      </c>
      <c r="AQ115">
        <v>0</v>
      </c>
      <c r="AS115" t="s">
        <v>324</v>
      </c>
      <c r="AT115">
        <v>375</v>
      </c>
      <c r="AU115">
        <v>0</v>
      </c>
    </row>
    <row r="116" spans="1:47" x14ac:dyDescent="0.3">
      <c r="A116" t="s">
        <v>253</v>
      </c>
      <c r="B116" t="s">
        <v>38</v>
      </c>
      <c r="C116" t="s">
        <v>330</v>
      </c>
      <c r="D116">
        <f t="shared" si="6"/>
        <v>13320</v>
      </c>
      <c r="E116">
        <f t="shared" si="7"/>
        <v>3843.99</v>
      </c>
      <c r="F116" s="102">
        <f t="shared" si="11"/>
        <v>-199802.83</v>
      </c>
      <c r="G116" t="s">
        <v>386</v>
      </c>
      <c r="H116">
        <v>199802.83</v>
      </c>
      <c r="I116">
        <v>187474.46</v>
      </c>
      <c r="J116" s="75">
        <f t="shared" si="10"/>
        <v>-187474.46</v>
      </c>
      <c r="L116" t="s">
        <v>306</v>
      </c>
      <c r="M116">
        <v>1276.48</v>
      </c>
      <c r="N116">
        <v>6342.14</v>
      </c>
      <c r="P116" t="s">
        <v>309</v>
      </c>
      <c r="Q116">
        <v>25821.61</v>
      </c>
      <c r="R116">
        <v>7044</v>
      </c>
      <c r="U116" t="s">
        <v>313</v>
      </c>
      <c r="V116">
        <v>76785.25</v>
      </c>
      <c r="W116">
        <v>50985.14</v>
      </c>
      <c r="Y116" t="s">
        <v>313</v>
      </c>
      <c r="Z116">
        <v>104284.49</v>
      </c>
      <c r="AA116">
        <v>50985.14</v>
      </c>
      <c r="AC116" t="s">
        <v>100</v>
      </c>
      <c r="AD116">
        <v>545</v>
      </c>
      <c r="AE116">
        <v>725</v>
      </c>
      <c r="AG116" t="s">
        <v>100</v>
      </c>
      <c r="AH116">
        <v>545</v>
      </c>
      <c r="AI116">
        <v>725</v>
      </c>
      <c r="AK116" t="s">
        <v>206</v>
      </c>
      <c r="AO116" t="s">
        <v>392</v>
      </c>
      <c r="AP116">
        <v>77198.149999999994</v>
      </c>
      <c r="AQ116">
        <v>52103.4</v>
      </c>
      <c r="AS116" t="s">
        <v>392</v>
      </c>
      <c r="AT116">
        <v>77198.149999999994</v>
      </c>
      <c r="AU116">
        <v>52103.4</v>
      </c>
    </row>
    <row r="117" spans="1:47" x14ac:dyDescent="0.3">
      <c r="A117" t="s">
        <v>253</v>
      </c>
      <c r="B117" t="s">
        <v>43</v>
      </c>
      <c r="C117" t="s">
        <v>43</v>
      </c>
      <c r="D117">
        <f t="shared" si="6"/>
        <v>27594.78</v>
      </c>
      <c r="E117">
        <f t="shared" si="7"/>
        <v>23900</v>
      </c>
      <c r="F117" s="102">
        <f t="shared" si="11"/>
        <v>0</v>
      </c>
      <c r="G117" t="s">
        <v>387</v>
      </c>
      <c r="J117" s="75">
        <f t="shared" si="10"/>
        <v>0</v>
      </c>
      <c r="L117" t="s">
        <v>388</v>
      </c>
      <c r="P117" t="s">
        <v>310</v>
      </c>
      <c r="Q117">
        <v>44005.5</v>
      </c>
      <c r="R117">
        <v>29356.5</v>
      </c>
      <c r="U117" t="s">
        <v>289</v>
      </c>
      <c r="V117">
        <v>16250</v>
      </c>
      <c r="W117">
        <v>28320</v>
      </c>
      <c r="Y117" t="s">
        <v>289</v>
      </c>
      <c r="Z117">
        <v>16250</v>
      </c>
      <c r="AA117">
        <v>28320</v>
      </c>
      <c r="AC117" t="s">
        <v>389</v>
      </c>
      <c r="AD117">
        <v>136060.07999999999</v>
      </c>
      <c r="AE117">
        <v>58029.73</v>
      </c>
      <c r="AG117" t="s">
        <v>389</v>
      </c>
      <c r="AH117">
        <v>136060.07999999999</v>
      </c>
      <c r="AI117">
        <v>58029.73</v>
      </c>
      <c r="AK117" t="s">
        <v>325</v>
      </c>
      <c r="AL117">
        <v>1315.76</v>
      </c>
      <c r="AM117">
        <v>9289.9</v>
      </c>
      <c r="AO117" t="s">
        <v>206</v>
      </c>
      <c r="AS117" t="s">
        <v>206</v>
      </c>
    </row>
    <row r="118" spans="1:47" x14ac:dyDescent="0.3">
      <c r="A118" t="s">
        <v>253</v>
      </c>
      <c r="B118" t="s">
        <v>38</v>
      </c>
      <c r="C118" t="s">
        <v>331</v>
      </c>
      <c r="D118">
        <f t="shared" si="6"/>
        <v>981.56</v>
      </c>
      <c r="E118">
        <f t="shared" si="7"/>
        <v>955.5</v>
      </c>
      <c r="F118" s="102">
        <f t="shared" si="11"/>
        <v>0</v>
      </c>
      <c r="G118" t="s">
        <v>305</v>
      </c>
      <c r="H118">
        <v>14419.07</v>
      </c>
      <c r="I118">
        <v>0</v>
      </c>
      <c r="J118" s="75">
        <f t="shared" si="10"/>
        <v>0</v>
      </c>
      <c r="L118" t="s">
        <v>309</v>
      </c>
      <c r="M118">
        <v>29970.79</v>
      </c>
      <c r="N118">
        <v>7044</v>
      </c>
      <c r="P118" t="s">
        <v>311</v>
      </c>
      <c r="Q118">
        <v>9079.67</v>
      </c>
      <c r="R118">
        <v>8900</v>
      </c>
      <c r="U118" t="s">
        <v>100</v>
      </c>
      <c r="V118">
        <v>545</v>
      </c>
      <c r="W118">
        <v>2225</v>
      </c>
      <c r="Y118" t="s">
        <v>100</v>
      </c>
      <c r="Z118">
        <v>545</v>
      </c>
      <c r="AA118">
        <v>2225</v>
      </c>
      <c r="AC118" t="s">
        <v>314</v>
      </c>
      <c r="AD118">
        <v>7000</v>
      </c>
      <c r="AE118">
        <v>7000</v>
      </c>
      <c r="AG118" t="s">
        <v>314</v>
      </c>
      <c r="AH118">
        <v>7000</v>
      </c>
      <c r="AI118">
        <v>7000</v>
      </c>
      <c r="AK118" t="s">
        <v>327</v>
      </c>
      <c r="AL118">
        <v>4525.75</v>
      </c>
      <c r="AM118">
        <v>3397.5</v>
      </c>
      <c r="AO118" t="s">
        <v>325</v>
      </c>
      <c r="AP118">
        <v>1315.76</v>
      </c>
      <c r="AQ118">
        <v>9289.9</v>
      </c>
      <c r="AS118" t="s">
        <v>325</v>
      </c>
      <c r="AT118">
        <v>1315.76</v>
      </c>
      <c r="AU118">
        <v>9289.9</v>
      </c>
    </row>
    <row r="119" spans="1:47" x14ac:dyDescent="0.3">
      <c r="A119" t="s">
        <v>253</v>
      </c>
      <c r="B119" t="s">
        <v>41</v>
      </c>
      <c r="C119" t="s">
        <v>332</v>
      </c>
      <c r="D119">
        <f t="shared" si="6"/>
        <v>4680.87</v>
      </c>
      <c r="E119">
        <f t="shared" si="7"/>
        <v>7867.75</v>
      </c>
      <c r="F119" s="102">
        <f t="shared" si="11"/>
        <v>0</v>
      </c>
      <c r="G119" t="s">
        <v>306</v>
      </c>
      <c r="H119">
        <v>1276.48</v>
      </c>
      <c r="I119">
        <v>6342.14</v>
      </c>
      <c r="J119" s="75">
        <f t="shared" si="10"/>
        <v>0</v>
      </c>
      <c r="L119" t="s">
        <v>310</v>
      </c>
      <c r="M119">
        <v>47746.5</v>
      </c>
      <c r="N119">
        <v>29356.5</v>
      </c>
      <c r="P119" t="s">
        <v>313</v>
      </c>
      <c r="Q119">
        <v>76785.25</v>
      </c>
      <c r="R119">
        <v>76396.86</v>
      </c>
      <c r="U119" t="s">
        <v>389</v>
      </c>
      <c r="V119">
        <v>168173.03</v>
      </c>
      <c r="W119">
        <v>117786.64</v>
      </c>
      <c r="Y119" t="s">
        <v>389</v>
      </c>
      <c r="Z119">
        <v>195672.27</v>
      </c>
      <c r="AA119">
        <v>117786.64</v>
      </c>
      <c r="AC119" t="s">
        <v>390</v>
      </c>
      <c r="AG119" t="s">
        <v>390</v>
      </c>
      <c r="AK119" t="s">
        <v>328</v>
      </c>
      <c r="AL119">
        <v>4675.5</v>
      </c>
      <c r="AM119">
        <v>2939.25</v>
      </c>
      <c r="AO119" t="s">
        <v>327</v>
      </c>
      <c r="AP119">
        <v>4525.75</v>
      </c>
      <c r="AQ119">
        <v>3397.5</v>
      </c>
      <c r="AS119" t="s">
        <v>327</v>
      </c>
      <c r="AT119">
        <v>4525.75</v>
      </c>
      <c r="AU119">
        <v>3397.5</v>
      </c>
    </row>
    <row r="120" spans="1:47" x14ac:dyDescent="0.3">
      <c r="B120" t="s">
        <v>36</v>
      </c>
      <c r="C120" t="s">
        <v>333</v>
      </c>
      <c r="D120">
        <f t="shared" si="6"/>
        <v>0</v>
      </c>
      <c r="E120">
        <f t="shared" si="7"/>
        <v>0</v>
      </c>
      <c r="F120" s="102">
        <f t="shared" si="11"/>
        <v>0</v>
      </c>
      <c r="G120" t="s">
        <v>388</v>
      </c>
      <c r="J120" s="75">
        <f t="shared" si="10"/>
        <v>0</v>
      </c>
      <c r="L120" t="s">
        <v>311</v>
      </c>
      <c r="M120">
        <v>11079.67</v>
      </c>
      <c r="N120">
        <v>13300</v>
      </c>
      <c r="P120" t="s">
        <v>289</v>
      </c>
      <c r="Q120">
        <v>23000</v>
      </c>
      <c r="R120">
        <v>28320</v>
      </c>
      <c r="U120" t="s">
        <v>314</v>
      </c>
      <c r="V120">
        <v>10500</v>
      </c>
      <c r="W120">
        <v>10500</v>
      </c>
      <c r="Y120" t="s">
        <v>314</v>
      </c>
      <c r="Z120">
        <v>10500</v>
      </c>
      <c r="AA120">
        <v>10500</v>
      </c>
      <c r="AC120" t="s">
        <v>318</v>
      </c>
      <c r="AD120">
        <v>3906</v>
      </c>
      <c r="AE120">
        <v>0</v>
      </c>
      <c r="AG120" t="s">
        <v>319</v>
      </c>
      <c r="AH120">
        <v>595</v>
      </c>
      <c r="AI120">
        <v>495</v>
      </c>
      <c r="AK120" t="s">
        <v>393</v>
      </c>
      <c r="AO120" t="s">
        <v>328</v>
      </c>
      <c r="AP120">
        <v>4675.5</v>
      </c>
      <c r="AQ120">
        <v>2939.25</v>
      </c>
      <c r="AS120" t="s">
        <v>328</v>
      </c>
      <c r="AT120">
        <v>4675.5</v>
      </c>
      <c r="AU120">
        <v>2939.25</v>
      </c>
    </row>
    <row r="121" spans="1:47" x14ac:dyDescent="0.3">
      <c r="F121" s="102">
        <f t="shared" si="11"/>
        <v>0</v>
      </c>
      <c r="G121" t="s">
        <v>309</v>
      </c>
      <c r="H121">
        <v>33711.79</v>
      </c>
      <c r="I121">
        <v>10216</v>
      </c>
      <c r="J121" s="75">
        <f t="shared" si="10"/>
        <v>0</v>
      </c>
      <c r="L121" t="s">
        <v>313</v>
      </c>
      <c r="M121">
        <v>76785.25</v>
      </c>
      <c r="N121">
        <v>103271.24</v>
      </c>
      <c r="P121" t="s">
        <v>100</v>
      </c>
      <c r="Q121">
        <v>935</v>
      </c>
      <c r="R121">
        <v>2825</v>
      </c>
      <c r="U121" t="s">
        <v>390</v>
      </c>
      <c r="Y121" t="s">
        <v>390</v>
      </c>
      <c r="AC121" t="s">
        <v>319</v>
      </c>
      <c r="AD121">
        <v>595</v>
      </c>
      <c r="AE121">
        <v>495</v>
      </c>
      <c r="AG121" t="s">
        <v>320</v>
      </c>
      <c r="AH121">
        <v>900</v>
      </c>
      <c r="AI121">
        <v>14675</v>
      </c>
      <c r="AK121" t="s">
        <v>329</v>
      </c>
      <c r="AL121">
        <v>0</v>
      </c>
      <c r="AM121">
        <v>725</v>
      </c>
      <c r="AO121" t="s">
        <v>393</v>
      </c>
      <c r="AS121" t="s">
        <v>393</v>
      </c>
    </row>
    <row r="122" spans="1:47" x14ac:dyDescent="0.3">
      <c r="F122" s="102">
        <f t="shared" si="11"/>
        <v>0</v>
      </c>
      <c r="G122" t="s">
        <v>310</v>
      </c>
      <c r="H122">
        <v>51487.5</v>
      </c>
      <c r="I122">
        <v>32128.5</v>
      </c>
      <c r="J122" s="75">
        <f t="shared" si="10"/>
        <v>0</v>
      </c>
      <c r="L122" t="s">
        <v>289</v>
      </c>
      <c r="M122">
        <v>23000</v>
      </c>
      <c r="N122">
        <v>28320</v>
      </c>
      <c r="P122" t="s">
        <v>389</v>
      </c>
      <c r="Q122">
        <v>179627.03</v>
      </c>
      <c r="R122">
        <v>152842.35999999999</v>
      </c>
      <c r="U122" t="s">
        <v>318</v>
      </c>
      <c r="V122">
        <v>6012.25</v>
      </c>
      <c r="W122">
        <v>0</v>
      </c>
      <c r="Y122" t="s">
        <v>318</v>
      </c>
      <c r="Z122">
        <v>6012.25</v>
      </c>
      <c r="AA122">
        <v>0</v>
      </c>
      <c r="AC122" t="s">
        <v>320</v>
      </c>
      <c r="AD122">
        <v>900</v>
      </c>
      <c r="AE122">
        <v>14675</v>
      </c>
      <c r="AG122" t="s">
        <v>321</v>
      </c>
      <c r="AH122">
        <v>385</v>
      </c>
      <c r="AI122">
        <v>0</v>
      </c>
      <c r="AK122" t="s">
        <v>331</v>
      </c>
      <c r="AL122">
        <v>196.98</v>
      </c>
      <c r="AM122">
        <v>120.78</v>
      </c>
      <c r="AO122" t="s">
        <v>329</v>
      </c>
      <c r="AP122">
        <v>0</v>
      </c>
      <c r="AQ122">
        <v>725</v>
      </c>
      <c r="AS122" t="s">
        <v>329</v>
      </c>
      <c r="AT122">
        <v>0</v>
      </c>
      <c r="AU122">
        <v>725</v>
      </c>
    </row>
    <row r="123" spans="1:47" x14ac:dyDescent="0.3">
      <c r="F123" s="102">
        <f t="shared" si="11"/>
        <v>0</v>
      </c>
      <c r="G123" t="s">
        <v>311</v>
      </c>
      <c r="H123">
        <v>15679.67</v>
      </c>
      <c r="I123">
        <v>16950</v>
      </c>
      <c r="J123" s="75">
        <f t="shared" si="10"/>
        <v>0</v>
      </c>
      <c r="L123" t="s">
        <v>100</v>
      </c>
      <c r="M123">
        <v>1325</v>
      </c>
      <c r="N123">
        <v>3000</v>
      </c>
      <c r="P123" t="s">
        <v>314</v>
      </c>
      <c r="Q123">
        <v>14000</v>
      </c>
      <c r="R123">
        <v>14000</v>
      </c>
      <c r="U123" t="s">
        <v>319</v>
      </c>
      <c r="V123">
        <v>1785</v>
      </c>
      <c r="W123">
        <v>990</v>
      </c>
      <c r="Y123" t="s">
        <v>319</v>
      </c>
      <c r="Z123">
        <v>1785</v>
      </c>
      <c r="AA123">
        <v>990</v>
      </c>
      <c r="AC123" t="s">
        <v>321</v>
      </c>
      <c r="AD123">
        <v>385</v>
      </c>
      <c r="AE123">
        <v>0</v>
      </c>
      <c r="AG123" t="s">
        <v>322</v>
      </c>
      <c r="AH123">
        <v>1823.95</v>
      </c>
      <c r="AI123">
        <v>4174.84</v>
      </c>
      <c r="AK123" t="s">
        <v>394</v>
      </c>
      <c r="AL123">
        <v>196.98</v>
      </c>
      <c r="AM123">
        <v>845.78</v>
      </c>
      <c r="AO123" t="s">
        <v>331</v>
      </c>
      <c r="AP123">
        <v>196.98</v>
      </c>
      <c r="AQ123">
        <v>120.78</v>
      </c>
      <c r="AS123" t="s">
        <v>331</v>
      </c>
      <c r="AT123">
        <v>196.98</v>
      </c>
      <c r="AU123">
        <v>120.78</v>
      </c>
    </row>
    <row r="124" spans="1:47" x14ac:dyDescent="0.3">
      <c r="F124" s="102">
        <f t="shared" si="11"/>
        <v>0</v>
      </c>
      <c r="G124" t="s">
        <v>313</v>
      </c>
      <c r="H124">
        <v>132273.57999999999</v>
      </c>
      <c r="I124">
        <v>127094.69</v>
      </c>
      <c r="J124" s="75">
        <f t="shared" si="10"/>
        <v>0</v>
      </c>
      <c r="L124" t="s">
        <v>389</v>
      </c>
      <c r="M124">
        <v>189907.21</v>
      </c>
      <c r="N124">
        <v>184291.74</v>
      </c>
      <c r="P124" t="s">
        <v>390</v>
      </c>
      <c r="U124" t="s">
        <v>320</v>
      </c>
      <c r="V124">
        <v>1787.5</v>
      </c>
      <c r="W124">
        <v>14925</v>
      </c>
      <c r="Y124" t="s">
        <v>320</v>
      </c>
      <c r="Z124">
        <v>1787.5</v>
      </c>
      <c r="AA124">
        <v>14925</v>
      </c>
      <c r="AC124" t="s">
        <v>322</v>
      </c>
      <c r="AD124">
        <v>1823.95</v>
      </c>
      <c r="AE124">
        <v>4174.84</v>
      </c>
      <c r="AG124" t="s">
        <v>391</v>
      </c>
      <c r="AH124">
        <v>3703.95</v>
      </c>
      <c r="AI124">
        <v>19344.84</v>
      </c>
      <c r="AK124" t="s">
        <v>332</v>
      </c>
      <c r="AL124">
        <v>1883.87</v>
      </c>
      <c r="AM124">
        <v>2739.25</v>
      </c>
      <c r="AO124" t="s">
        <v>394</v>
      </c>
      <c r="AP124">
        <v>196.98</v>
      </c>
      <c r="AQ124">
        <v>845.78</v>
      </c>
      <c r="AS124" t="s">
        <v>394</v>
      </c>
      <c r="AT124">
        <v>196.98</v>
      </c>
      <c r="AU124">
        <v>845.78</v>
      </c>
    </row>
    <row r="125" spans="1:47" x14ac:dyDescent="0.3">
      <c r="F125" s="102">
        <f t="shared" si="11"/>
        <v>0</v>
      </c>
      <c r="G125" t="s">
        <v>289</v>
      </c>
      <c r="H125">
        <v>23000</v>
      </c>
      <c r="I125">
        <v>28320</v>
      </c>
      <c r="J125" s="75">
        <f t="shared" si="10"/>
        <v>0</v>
      </c>
      <c r="L125" t="s">
        <v>314</v>
      </c>
      <c r="M125">
        <v>17500</v>
      </c>
      <c r="N125">
        <v>17500</v>
      </c>
      <c r="P125" t="s">
        <v>318</v>
      </c>
      <c r="Q125">
        <v>6012.25</v>
      </c>
      <c r="R125">
        <v>0</v>
      </c>
      <c r="U125" t="s">
        <v>321</v>
      </c>
      <c r="V125">
        <v>770</v>
      </c>
      <c r="W125">
        <v>0</v>
      </c>
      <c r="Y125" t="s">
        <v>321</v>
      </c>
      <c r="Z125">
        <v>770</v>
      </c>
      <c r="AA125">
        <v>0</v>
      </c>
      <c r="AC125" t="s">
        <v>391</v>
      </c>
      <c r="AD125">
        <v>7609.95</v>
      </c>
      <c r="AE125">
        <v>19344.84</v>
      </c>
      <c r="AG125" t="s">
        <v>324</v>
      </c>
      <c r="AH125">
        <v>646.57000000000005</v>
      </c>
      <c r="AI125">
        <v>17725</v>
      </c>
      <c r="AK125" t="s">
        <v>395</v>
      </c>
      <c r="AL125">
        <v>12597.86</v>
      </c>
      <c r="AM125">
        <v>19211.68</v>
      </c>
      <c r="AO125" t="s">
        <v>332</v>
      </c>
      <c r="AP125">
        <v>1883.87</v>
      </c>
      <c r="AQ125">
        <v>2739.25</v>
      </c>
      <c r="AS125" t="s">
        <v>332</v>
      </c>
      <c r="AT125">
        <v>1883.87</v>
      </c>
      <c r="AU125">
        <v>2739.25</v>
      </c>
    </row>
    <row r="126" spans="1:47" x14ac:dyDescent="0.3">
      <c r="F126" s="102">
        <f t="shared" si="11"/>
        <v>0</v>
      </c>
      <c r="G126" t="s">
        <v>100</v>
      </c>
      <c r="H126">
        <v>1325</v>
      </c>
      <c r="I126">
        <v>3175</v>
      </c>
      <c r="J126" s="75">
        <f t="shared" si="10"/>
        <v>0</v>
      </c>
      <c r="L126" t="s">
        <v>390</v>
      </c>
      <c r="P126" t="s">
        <v>319</v>
      </c>
      <c r="Q126">
        <v>1785</v>
      </c>
      <c r="R126">
        <v>1485</v>
      </c>
      <c r="U126" t="s">
        <v>322</v>
      </c>
      <c r="V126">
        <v>3802.69</v>
      </c>
      <c r="W126">
        <v>4510.47</v>
      </c>
      <c r="Y126" t="s">
        <v>322</v>
      </c>
      <c r="Z126">
        <v>3802.69</v>
      </c>
      <c r="AA126">
        <v>4510.47</v>
      </c>
      <c r="AC126" t="s">
        <v>324</v>
      </c>
      <c r="AD126">
        <v>646.57000000000005</v>
      </c>
      <c r="AE126">
        <v>17725</v>
      </c>
      <c r="AG126" t="s">
        <v>392</v>
      </c>
      <c r="AH126">
        <v>147510.60999999999</v>
      </c>
      <c r="AI126">
        <v>102099.57</v>
      </c>
      <c r="AK126" t="s">
        <v>396</v>
      </c>
      <c r="AL126">
        <v>136329.51</v>
      </c>
      <c r="AM126">
        <v>97537.25</v>
      </c>
      <c r="AO126" t="s">
        <v>395</v>
      </c>
      <c r="AP126">
        <v>12597.86</v>
      </c>
      <c r="AQ126">
        <v>19211.68</v>
      </c>
      <c r="AS126" t="s">
        <v>395</v>
      </c>
      <c r="AT126">
        <v>12597.86</v>
      </c>
      <c r="AU126">
        <v>19211.68</v>
      </c>
    </row>
    <row r="127" spans="1:47" x14ac:dyDescent="0.3">
      <c r="F127" s="102">
        <f t="shared" si="11"/>
        <v>-257477.54</v>
      </c>
      <c r="G127" t="s">
        <v>389</v>
      </c>
      <c r="H127">
        <v>257477.54</v>
      </c>
      <c r="I127">
        <v>217884.19</v>
      </c>
      <c r="J127" s="75">
        <f t="shared" si="10"/>
        <v>-217884.19</v>
      </c>
      <c r="L127" t="s">
        <v>318</v>
      </c>
      <c r="M127">
        <v>6012.25</v>
      </c>
      <c r="N127">
        <v>0</v>
      </c>
      <c r="P127" t="s">
        <v>320</v>
      </c>
      <c r="Q127">
        <v>12625</v>
      </c>
      <c r="R127">
        <v>15175</v>
      </c>
      <c r="U127" t="s">
        <v>391</v>
      </c>
      <c r="V127">
        <v>14157.44</v>
      </c>
      <c r="W127">
        <v>20425.47</v>
      </c>
      <c r="Y127" t="s">
        <v>391</v>
      </c>
      <c r="Z127">
        <v>14157.44</v>
      </c>
      <c r="AA127">
        <v>20425.47</v>
      </c>
      <c r="AC127" t="s">
        <v>392</v>
      </c>
      <c r="AD127">
        <v>151416.60999999999</v>
      </c>
      <c r="AE127">
        <v>102099.57</v>
      </c>
      <c r="AG127" t="s">
        <v>206</v>
      </c>
      <c r="AK127" t="s">
        <v>397</v>
      </c>
      <c r="AL127">
        <v>270338.55</v>
      </c>
      <c r="AM127">
        <v>201813.78</v>
      </c>
      <c r="AO127" t="s">
        <v>396</v>
      </c>
      <c r="AP127">
        <v>136329.51</v>
      </c>
      <c r="AQ127">
        <v>97537.25</v>
      </c>
      <c r="AS127" t="s">
        <v>396</v>
      </c>
      <c r="AT127">
        <v>136329.51</v>
      </c>
      <c r="AU127">
        <v>97537.25</v>
      </c>
    </row>
    <row r="128" spans="1:47" x14ac:dyDescent="0.3">
      <c r="F128" s="102">
        <f t="shared" si="11"/>
        <v>0</v>
      </c>
      <c r="G128" t="s">
        <v>314</v>
      </c>
      <c r="H128">
        <v>21000</v>
      </c>
      <c r="I128">
        <v>21000</v>
      </c>
      <c r="J128" s="75">
        <f t="shared" si="10"/>
        <v>0</v>
      </c>
      <c r="L128" t="s">
        <v>319</v>
      </c>
      <c r="M128">
        <v>2380</v>
      </c>
      <c r="N128">
        <v>1980</v>
      </c>
      <c r="P128" t="s">
        <v>321</v>
      </c>
      <c r="Q128">
        <v>1020</v>
      </c>
      <c r="R128">
        <v>0</v>
      </c>
      <c r="U128" t="s">
        <v>324</v>
      </c>
      <c r="V128">
        <v>2654.2</v>
      </c>
      <c r="W128">
        <v>18027.5</v>
      </c>
      <c r="Y128" t="s">
        <v>324</v>
      </c>
      <c r="Z128">
        <v>2654.2</v>
      </c>
      <c r="AA128">
        <v>18027.5</v>
      </c>
      <c r="AC128" t="s">
        <v>206</v>
      </c>
      <c r="AG128" t="s">
        <v>325</v>
      </c>
      <c r="AH128">
        <v>1322.76</v>
      </c>
      <c r="AI128">
        <v>9289.9</v>
      </c>
      <c r="AK128" t="s">
        <v>398</v>
      </c>
      <c r="AL128">
        <v>-249427.54</v>
      </c>
      <c r="AM128">
        <v>43195.86</v>
      </c>
      <c r="AO128" t="s">
        <v>397</v>
      </c>
      <c r="AP128">
        <v>270338.55</v>
      </c>
      <c r="AQ128">
        <v>201813.78</v>
      </c>
      <c r="AS128" t="s">
        <v>397</v>
      </c>
      <c r="AT128">
        <v>270338.55</v>
      </c>
      <c r="AU128">
        <v>201813.78</v>
      </c>
    </row>
    <row r="129" spans="1:47" x14ac:dyDescent="0.3">
      <c r="A129" t="s">
        <v>585</v>
      </c>
      <c r="B129" t="s">
        <v>336</v>
      </c>
      <c r="E129" s="17"/>
      <c r="F129" s="102">
        <f t="shared" si="11"/>
        <v>0</v>
      </c>
      <c r="G129" t="s">
        <v>390</v>
      </c>
      <c r="J129" s="75">
        <f t="shared" si="10"/>
        <v>0</v>
      </c>
      <c r="L129" t="s">
        <v>320</v>
      </c>
      <c r="M129">
        <v>12625</v>
      </c>
      <c r="N129">
        <v>15425</v>
      </c>
      <c r="P129" t="s">
        <v>322</v>
      </c>
      <c r="Q129">
        <v>4701.9399999999996</v>
      </c>
      <c r="R129">
        <v>5957.14</v>
      </c>
      <c r="U129" t="s">
        <v>392</v>
      </c>
      <c r="V129">
        <v>196761.15</v>
      </c>
      <c r="W129">
        <v>172943.6</v>
      </c>
      <c r="Y129" t="s">
        <v>392</v>
      </c>
      <c r="Z129">
        <v>224260.39</v>
      </c>
      <c r="AA129">
        <v>172943.6</v>
      </c>
      <c r="AC129" t="s">
        <v>325</v>
      </c>
      <c r="AD129">
        <v>1322.76</v>
      </c>
      <c r="AE129">
        <v>9289.9</v>
      </c>
      <c r="AG129" t="s">
        <v>327</v>
      </c>
      <c r="AH129">
        <v>4875.75</v>
      </c>
      <c r="AI129">
        <v>3527.69</v>
      </c>
      <c r="AK129" t="s">
        <v>399</v>
      </c>
      <c r="AL129">
        <v>-249427.54</v>
      </c>
      <c r="AM129">
        <v>43195.86</v>
      </c>
      <c r="AO129" t="s">
        <v>398</v>
      </c>
      <c r="AP129">
        <v>-249427.54</v>
      </c>
      <c r="AQ129">
        <v>43195.86</v>
      </c>
      <c r="AS129" t="s">
        <v>398</v>
      </c>
      <c r="AT129">
        <v>-249427.54</v>
      </c>
      <c r="AU129">
        <v>43195.86</v>
      </c>
    </row>
    <row r="130" spans="1:47" x14ac:dyDescent="0.3">
      <c r="A130" t="s">
        <v>245</v>
      </c>
      <c r="B130" t="s">
        <v>335</v>
      </c>
      <c r="E130" s="17"/>
      <c r="F130" s="102">
        <f t="shared" si="11"/>
        <v>0</v>
      </c>
      <c r="G130" t="s">
        <v>318</v>
      </c>
      <c r="H130">
        <v>6081</v>
      </c>
      <c r="I130">
        <v>0</v>
      </c>
      <c r="J130" s="75">
        <f t="shared" si="10"/>
        <v>0</v>
      </c>
      <c r="L130" t="s">
        <v>321</v>
      </c>
      <c r="M130">
        <v>1270</v>
      </c>
      <c r="N130">
        <v>100</v>
      </c>
      <c r="P130" t="s">
        <v>391</v>
      </c>
      <c r="Q130">
        <v>26144.19</v>
      </c>
      <c r="R130">
        <v>22617.14</v>
      </c>
      <c r="U130" t="s">
        <v>206</v>
      </c>
      <c r="Y130" t="s">
        <v>206</v>
      </c>
      <c r="AC130" t="s">
        <v>327</v>
      </c>
      <c r="AD130">
        <v>4875.75</v>
      </c>
      <c r="AE130">
        <v>3527.69</v>
      </c>
      <c r="AG130" t="s">
        <v>328</v>
      </c>
      <c r="AH130">
        <v>4878.5</v>
      </c>
      <c r="AI130">
        <v>2939.25</v>
      </c>
      <c r="AO130" t="s">
        <v>399</v>
      </c>
      <c r="AP130">
        <v>-249427.54</v>
      </c>
      <c r="AQ130">
        <v>43195.86</v>
      </c>
      <c r="AS130" t="s">
        <v>399</v>
      </c>
      <c r="AT130">
        <v>-249427.54</v>
      </c>
      <c r="AU130">
        <v>43195.86</v>
      </c>
    </row>
    <row r="131" spans="1:47" x14ac:dyDescent="0.3">
      <c r="E131" s="17"/>
      <c r="F131" s="102">
        <f t="shared" si="11"/>
        <v>0</v>
      </c>
      <c r="G131" t="s">
        <v>319</v>
      </c>
      <c r="H131">
        <v>2380</v>
      </c>
      <c r="I131">
        <v>2475</v>
      </c>
      <c r="J131" s="75">
        <f t="shared" si="10"/>
        <v>0</v>
      </c>
      <c r="L131" t="s">
        <v>322</v>
      </c>
      <c r="M131">
        <v>6076.11</v>
      </c>
      <c r="N131">
        <v>6602.69</v>
      </c>
      <c r="P131" t="s">
        <v>324</v>
      </c>
      <c r="Q131">
        <v>11904.2</v>
      </c>
      <c r="R131">
        <v>18281.25</v>
      </c>
      <c r="U131" t="s">
        <v>325</v>
      </c>
      <c r="V131">
        <v>1322.76</v>
      </c>
      <c r="W131">
        <v>9963.2000000000007</v>
      </c>
      <c r="Y131" t="s">
        <v>325</v>
      </c>
      <c r="Z131">
        <v>1322.76</v>
      </c>
      <c r="AA131">
        <v>9963.2000000000007</v>
      </c>
      <c r="AC131" t="s">
        <v>328</v>
      </c>
      <c r="AD131">
        <v>4878.5</v>
      </c>
      <c r="AE131">
        <v>2939.25</v>
      </c>
      <c r="AG131" t="s">
        <v>393</v>
      </c>
    </row>
    <row r="132" spans="1:47" x14ac:dyDescent="0.3">
      <c r="E132" s="17"/>
      <c r="F132" s="102">
        <f t="shared" si="11"/>
        <v>0</v>
      </c>
      <c r="G132" t="s">
        <v>320</v>
      </c>
      <c r="H132">
        <v>12625</v>
      </c>
      <c r="I132">
        <v>15675</v>
      </c>
      <c r="J132" s="75">
        <f t="shared" si="10"/>
        <v>0</v>
      </c>
      <c r="L132" t="s">
        <v>391</v>
      </c>
      <c r="M132">
        <v>28363.360000000001</v>
      </c>
      <c r="N132">
        <v>24107.69</v>
      </c>
      <c r="P132" t="s">
        <v>392</v>
      </c>
      <c r="Q132">
        <v>232951.9</v>
      </c>
      <c r="R132">
        <v>214082.89</v>
      </c>
      <c r="U132" t="s">
        <v>327</v>
      </c>
      <c r="V132">
        <v>4875.75</v>
      </c>
      <c r="W132">
        <v>3997.09</v>
      </c>
      <c r="Y132" t="s">
        <v>327</v>
      </c>
      <c r="Z132">
        <v>4875.75</v>
      </c>
      <c r="AA132">
        <v>3997.09</v>
      </c>
      <c r="AC132" t="s">
        <v>393</v>
      </c>
      <c r="AG132" t="s">
        <v>329</v>
      </c>
      <c r="AH132">
        <v>0</v>
      </c>
      <c r="AI132">
        <v>725</v>
      </c>
    </row>
    <row r="133" spans="1:47" x14ac:dyDescent="0.3">
      <c r="A133" t="s">
        <v>585</v>
      </c>
      <c r="B133" t="s">
        <v>336</v>
      </c>
      <c r="E133" s="17">
        <f>SUMIFS(E1:E120,A1:A120,A133)</f>
        <v>590796.64999999991</v>
      </c>
      <c r="F133" s="102">
        <f t="shared" si="11"/>
        <v>0</v>
      </c>
      <c r="G133" t="s">
        <v>321</v>
      </c>
      <c r="H133">
        <v>2045</v>
      </c>
      <c r="I133">
        <v>100</v>
      </c>
      <c r="J133" s="75">
        <f t="shared" si="10"/>
        <v>0</v>
      </c>
      <c r="L133" t="s">
        <v>324</v>
      </c>
      <c r="M133">
        <v>12044.2</v>
      </c>
      <c r="N133">
        <v>18518.75</v>
      </c>
      <c r="P133" t="s">
        <v>206</v>
      </c>
      <c r="U133" t="s">
        <v>328</v>
      </c>
      <c r="V133">
        <v>9554</v>
      </c>
      <c r="W133">
        <v>5878.5</v>
      </c>
      <c r="Y133" t="s">
        <v>328</v>
      </c>
      <c r="Z133">
        <v>9554</v>
      </c>
      <c r="AA133">
        <v>5878.5</v>
      </c>
      <c r="AC133" t="s">
        <v>329</v>
      </c>
      <c r="AD133">
        <v>0</v>
      </c>
      <c r="AE133">
        <v>725</v>
      </c>
      <c r="AG133" t="s">
        <v>330</v>
      </c>
      <c r="AH133">
        <v>3150</v>
      </c>
      <c r="AI133">
        <v>600</v>
      </c>
    </row>
    <row r="134" spans="1:47" x14ac:dyDescent="0.3">
      <c r="A134" t="s">
        <v>245</v>
      </c>
      <c r="B134" t="s">
        <v>337</v>
      </c>
      <c r="E134" s="17">
        <f>SUMIFS(E1:E120,A1:A120,A134)</f>
        <v>558132.65999999992</v>
      </c>
      <c r="F134" s="102">
        <f t="shared" si="11"/>
        <v>0</v>
      </c>
      <c r="G134" t="s">
        <v>322</v>
      </c>
      <c r="H134">
        <v>6752.93</v>
      </c>
      <c r="I134">
        <v>8347.02</v>
      </c>
      <c r="J134" s="75">
        <f t="shared" si="10"/>
        <v>0</v>
      </c>
      <c r="L134" t="s">
        <v>392</v>
      </c>
      <c r="M134">
        <v>249091.25</v>
      </c>
      <c r="N134">
        <v>250760.32000000001</v>
      </c>
      <c r="P134" t="s">
        <v>325</v>
      </c>
      <c r="Q134">
        <v>3504.79</v>
      </c>
      <c r="R134">
        <v>9963.2000000000007</v>
      </c>
      <c r="U134" t="s">
        <v>393</v>
      </c>
      <c r="Y134" t="s">
        <v>393</v>
      </c>
      <c r="AC134" t="s">
        <v>330</v>
      </c>
      <c r="AD134">
        <v>3150</v>
      </c>
      <c r="AE134">
        <v>600</v>
      </c>
      <c r="AG134" t="s">
        <v>43</v>
      </c>
      <c r="AH134">
        <v>7450</v>
      </c>
      <c r="AI134">
        <v>7950</v>
      </c>
    </row>
    <row r="135" spans="1:47" x14ac:dyDescent="0.3">
      <c r="B135" t="s">
        <v>338</v>
      </c>
      <c r="E135" s="17"/>
      <c r="F135" s="102">
        <f t="shared" si="11"/>
        <v>-29883.93</v>
      </c>
      <c r="G135" t="s">
        <v>391</v>
      </c>
      <c r="H135">
        <v>29883.93</v>
      </c>
      <c r="I135">
        <v>26597.02</v>
      </c>
      <c r="J135" s="75">
        <f t="shared" si="10"/>
        <v>-26597.02</v>
      </c>
      <c r="L135" t="s">
        <v>206</v>
      </c>
      <c r="P135" t="s">
        <v>327</v>
      </c>
      <c r="Q135">
        <v>5405.67</v>
      </c>
      <c r="R135">
        <v>5705.56</v>
      </c>
      <c r="U135" t="s">
        <v>329</v>
      </c>
      <c r="V135">
        <v>0</v>
      </c>
      <c r="W135">
        <v>8170</v>
      </c>
      <c r="Y135" t="s">
        <v>329</v>
      </c>
      <c r="Z135">
        <v>0</v>
      </c>
      <c r="AA135">
        <v>8170</v>
      </c>
      <c r="AC135" t="s">
        <v>43</v>
      </c>
      <c r="AD135">
        <v>7450</v>
      </c>
      <c r="AE135">
        <v>7950</v>
      </c>
      <c r="AG135" t="s">
        <v>331</v>
      </c>
      <c r="AH135">
        <v>384.98</v>
      </c>
      <c r="AI135">
        <v>241.56</v>
      </c>
    </row>
    <row r="136" spans="1:47" x14ac:dyDescent="0.3">
      <c r="E136" s="17"/>
      <c r="F136" s="102">
        <f t="shared" si="11"/>
        <v>0</v>
      </c>
      <c r="G136" t="s">
        <v>324</v>
      </c>
      <c r="H136">
        <v>12983.57</v>
      </c>
      <c r="I136">
        <v>18837.5</v>
      </c>
      <c r="J136" s="75">
        <f t="shared" si="10"/>
        <v>0</v>
      </c>
      <c r="L136" t="s">
        <v>325</v>
      </c>
      <c r="M136">
        <v>3504.79</v>
      </c>
      <c r="N136">
        <v>9963.2000000000007</v>
      </c>
      <c r="P136" t="s">
        <v>328</v>
      </c>
      <c r="Q136">
        <v>9554</v>
      </c>
      <c r="R136">
        <v>5878.5</v>
      </c>
      <c r="U136" t="s">
        <v>330</v>
      </c>
      <c r="V136">
        <v>6300</v>
      </c>
      <c r="W136">
        <v>1200</v>
      </c>
      <c r="Y136" t="s">
        <v>330</v>
      </c>
      <c r="Z136">
        <v>6300</v>
      </c>
      <c r="AA136">
        <v>1200</v>
      </c>
      <c r="AC136" t="s">
        <v>331</v>
      </c>
      <c r="AD136">
        <v>384.98</v>
      </c>
      <c r="AE136">
        <v>241.56</v>
      </c>
      <c r="AG136" t="s">
        <v>394</v>
      </c>
      <c r="AH136">
        <v>10984.98</v>
      </c>
      <c r="AI136">
        <v>9516.56</v>
      </c>
    </row>
    <row r="137" spans="1:47" x14ac:dyDescent="0.3">
      <c r="A137" t="s">
        <v>9</v>
      </c>
      <c r="B137" t="s">
        <v>336</v>
      </c>
      <c r="E137" s="17">
        <f>SUMIFS(E1:E120,A1:A120,A137)</f>
        <v>1651427.4500000002</v>
      </c>
      <c r="F137" s="102">
        <f t="shared" si="11"/>
        <v>-337040.59</v>
      </c>
      <c r="G137" t="s">
        <v>392</v>
      </c>
      <c r="H137">
        <v>337040.59</v>
      </c>
      <c r="I137">
        <v>290660.84999999998</v>
      </c>
      <c r="J137" s="75">
        <f t="shared" si="10"/>
        <v>-290660.84999999998</v>
      </c>
      <c r="L137" t="s">
        <v>327</v>
      </c>
      <c r="M137">
        <v>5405.67</v>
      </c>
      <c r="N137">
        <v>8055.56</v>
      </c>
      <c r="P137" t="s">
        <v>393</v>
      </c>
      <c r="U137" t="s">
        <v>43</v>
      </c>
      <c r="V137">
        <v>12325</v>
      </c>
      <c r="W137">
        <v>12000</v>
      </c>
      <c r="Y137" t="s">
        <v>43</v>
      </c>
      <c r="Z137">
        <v>12325</v>
      </c>
      <c r="AA137">
        <v>12000</v>
      </c>
      <c r="AC137" t="s">
        <v>394</v>
      </c>
      <c r="AD137">
        <v>10984.98</v>
      </c>
      <c r="AE137">
        <v>9516.56</v>
      </c>
      <c r="AG137" t="s">
        <v>332</v>
      </c>
      <c r="AH137">
        <v>2058.87</v>
      </c>
      <c r="AI137">
        <v>2739.25</v>
      </c>
    </row>
    <row r="138" spans="1:47" x14ac:dyDescent="0.3">
      <c r="A138" t="s">
        <v>253</v>
      </c>
      <c r="B138" t="s">
        <v>339</v>
      </c>
      <c r="E138" s="17">
        <f>SUMIFS(E1:E120,A1:A120,A138)</f>
        <v>494193.81000000006</v>
      </c>
      <c r="F138" s="102">
        <f t="shared" si="11"/>
        <v>0</v>
      </c>
      <c r="G138" t="s">
        <v>206</v>
      </c>
      <c r="J138" s="75">
        <f t="shared" si="10"/>
        <v>0</v>
      </c>
      <c r="L138" t="s">
        <v>328</v>
      </c>
      <c r="M138">
        <v>9554</v>
      </c>
      <c r="N138">
        <v>5878.5</v>
      </c>
      <c r="P138" t="s">
        <v>329</v>
      </c>
      <c r="Q138">
        <v>0</v>
      </c>
      <c r="R138">
        <v>8690</v>
      </c>
      <c r="U138" t="s">
        <v>331</v>
      </c>
      <c r="V138">
        <v>450.64</v>
      </c>
      <c r="W138">
        <v>422.73</v>
      </c>
      <c r="Y138" t="s">
        <v>331</v>
      </c>
      <c r="Z138">
        <v>450.64</v>
      </c>
      <c r="AA138">
        <v>422.73</v>
      </c>
      <c r="AC138" t="s">
        <v>332</v>
      </c>
      <c r="AD138">
        <v>2058.87</v>
      </c>
      <c r="AE138">
        <v>2739.25</v>
      </c>
      <c r="AG138" t="s">
        <v>395</v>
      </c>
      <c r="AH138">
        <v>24120.86</v>
      </c>
      <c r="AI138">
        <v>28012.65</v>
      </c>
    </row>
    <row r="139" spans="1:47" x14ac:dyDescent="0.3">
      <c r="B139" t="s">
        <v>340</v>
      </c>
      <c r="E139" s="17">
        <f>SUM('A- Summary Inc_Ex'!F22:F26)+'A- Summary Inc_Ex'!F33+'A- Summary Inc_Ex'!F59</f>
        <v>494193.80999999994</v>
      </c>
      <c r="F139" s="102">
        <f t="shared" si="11"/>
        <v>0</v>
      </c>
      <c r="G139" t="s">
        <v>325</v>
      </c>
      <c r="H139">
        <v>3504.79</v>
      </c>
      <c r="I139">
        <v>9963.2000000000007</v>
      </c>
      <c r="J139" s="75">
        <f t="shared" si="10"/>
        <v>0</v>
      </c>
      <c r="L139" t="s">
        <v>393</v>
      </c>
      <c r="P139" t="s">
        <v>330</v>
      </c>
      <c r="Q139">
        <v>8640</v>
      </c>
      <c r="R139">
        <v>1800</v>
      </c>
      <c r="U139" t="s">
        <v>394</v>
      </c>
      <c r="V139">
        <v>19075.64</v>
      </c>
      <c r="W139">
        <v>21792.73</v>
      </c>
      <c r="Y139" t="s">
        <v>394</v>
      </c>
      <c r="Z139">
        <v>19075.64</v>
      </c>
      <c r="AA139">
        <v>21792.73</v>
      </c>
      <c r="AC139" t="s">
        <v>395</v>
      </c>
      <c r="AD139">
        <v>24120.86</v>
      </c>
      <c r="AE139">
        <v>28012.65</v>
      </c>
      <c r="AG139" t="s">
        <v>396</v>
      </c>
      <c r="AH139">
        <v>233193.24</v>
      </c>
      <c r="AI139">
        <v>169119.28</v>
      </c>
    </row>
    <row r="140" spans="1:47" x14ac:dyDescent="0.3">
      <c r="E140" s="17">
        <f>E138-E139</f>
        <v>0</v>
      </c>
      <c r="F140" s="102">
        <f t="shared" si="11"/>
        <v>0</v>
      </c>
      <c r="G140" t="s">
        <v>327</v>
      </c>
      <c r="H140">
        <v>5405.67</v>
      </c>
      <c r="I140">
        <v>8055.56</v>
      </c>
      <c r="J140" s="75">
        <f t="shared" si="10"/>
        <v>0</v>
      </c>
      <c r="L140" t="s">
        <v>329</v>
      </c>
      <c r="M140">
        <v>0</v>
      </c>
      <c r="N140">
        <v>18190</v>
      </c>
      <c r="P140" t="s">
        <v>43</v>
      </c>
      <c r="Q140">
        <v>17025</v>
      </c>
      <c r="R140">
        <v>16125</v>
      </c>
      <c r="U140" t="s">
        <v>332</v>
      </c>
      <c r="V140">
        <v>2058.87</v>
      </c>
      <c r="W140">
        <v>5303.5</v>
      </c>
      <c r="Y140" t="s">
        <v>332</v>
      </c>
      <c r="Z140">
        <v>2058.87</v>
      </c>
      <c r="AA140">
        <v>5303.5</v>
      </c>
      <c r="AC140" t="s">
        <v>396</v>
      </c>
      <c r="AD140">
        <v>227501.64</v>
      </c>
      <c r="AE140">
        <v>169119.28</v>
      </c>
      <c r="AG140" t="s">
        <v>397</v>
      </c>
      <c r="AH140">
        <v>489309.78</v>
      </c>
      <c r="AI140">
        <v>424069.31</v>
      </c>
    </row>
    <row r="141" spans="1:47" x14ac:dyDescent="0.3">
      <c r="E141" s="17"/>
      <c r="F141" s="102">
        <f t="shared" si="11"/>
        <v>0</v>
      </c>
      <c r="G141" t="s">
        <v>328</v>
      </c>
      <c r="H141">
        <v>9554</v>
      </c>
      <c r="I141">
        <v>12400.41</v>
      </c>
      <c r="J141" s="75">
        <f t="shared" si="10"/>
        <v>0</v>
      </c>
      <c r="L141" t="s">
        <v>330</v>
      </c>
      <c r="M141">
        <v>10980</v>
      </c>
      <c r="N141">
        <v>2400</v>
      </c>
      <c r="P141" t="s">
        <v>331</v>
      </c>
      <c r="Q141">
        <v>581.96</v>
      </c>
      <c r="R141">
        <v>659.96</v>
      </c>
      <c r="U141" t="s">
        <v>395</v>
      </c>
      <c r="V141">
        <v>36887.019999999997</v>
      </c>
      <c r="W141">
        <v>46935.02</v>
      </c>
      <c r="Y141" t="s">
        <v>395</v>
      </c>
      <c r="Z141">
        <v>36887.019999999997</v>
      </c>
      <c r="AA141">
        <v>46935.02</v>
      </c>
      <c r="AC141" t="s">
        <v>397</v>
      </c>
      <c r="AD141">
        <v>489309.78</v>
      </c>
      <c r="AE141">
        <v>424069.31</v>
      </c>
      <c r="AG141" t="s">
        <v>398</v>
      </c>
      <c r="AH141">
        <v>-143580.41</v>
      </c>
      <c r="AI141">
        <v>89281.78</v>
      </c>
    </row>
    <row r="142" spans="1:47" x14ac:dyDescent="0.3">
      <c r="A142" t="s">
        <v>297</v>
      </c>
      <c r="B142" t="s">
        <v>334</v>
      </c>
      <c r="E142" s="17">
        <f>SUMIFS(E1:E120,A1:A120,A142)</f>
        <v>61969.85</v>
      </c>
      <c r="F142" s="102">
        <f t="shared" si="11"/>
        <v>0</v>
      </c>
      <c r="G142" t="s">
        <v>393</v>
      </c>
      <c r="J142" s="75">
        <f t="shared" si="10"/>
        <v>0</v>
      </c>
      <c r="L142" t="s">
        <v>43</v>
      </c>
      <c r="M142">
        <v>22369.78</v>
      </c>
      <c r="N142">
        <v>19675</v>
      </c>
      <c r="P142" t="s">
        <v>394</v>
      </c>
      <c r="Q142">
        <v>26246.959999999999</v>
      </c>
      <c r="R142">
        <v>27274.959999999999</v>
      </c>
      <c r="U142" t="s">
        <v>396</v>
      </c>
      <c r="V142">
        <v>311395.46000000002</v>
      </c>
      <c r="W142">
        <v>294762.87</v>
      </c>
      <c r="Y142" t="s">
        <v>396</v>
      </c>
      <c r="Z142">
        <v>338894.7</v>
      </c>
      <c r="AA142">
        <v>294762.87</v>
      </c>
      <c r="AC142" t="s">
        <v>398</v>
      </c>
      <c r="AD142">
        <v>-143318.91</v>
      </c>
      <c r="AE142">
        <v>89281.78</v>
      </c>
      <c r="AG142" t="s">
        <v>399</v>
      </c>
      <c r="AH142">
        <v>-143580.41</v>
      </c>
      <c r="AI142">
        <v>89281.78</v>
      </c>
    </row>
    <row r="143" spans="1:47" x14ac:dyDescent="0.3">
      <c r="B143" t="s">
        <v>341</v>
      </c>
      <c r="E143" s="17">
        <f>'B- Marketing &amp; Adverts'!F27</f>
        <v>61969.850000000006</v>
      </c>
      <c r="F143" s="102">
        <f t="shared" si="11"/>
        <v>0</v>
      </c>
      <c r="G143" t="s">
        <v>329</v>
      </c>
      <c r="H143">
        <v>2500</v>
      </c>
      <c r="I143">
        <v>20017.5</v>
      </c>
      <c r="J143" s="75">
        <f t="shared" si="10"/>
        <v>0</v>
      </c>
      <c r="L143" t="s">
        <v>331</v>
      </c>
      <c r="M143">
        <v>854.73</v>
      </c>
      <c r="N143">
        <v>780.74</v>
      </c>
      <c r="P143" t="s">
        <v>332</v>
      </c>
      <c r="Q143">
        <v>4680.87</v>
      </c>
      <c r="R143">
        <v>5303.5</v>
      </c>
      <c r="U143" t="s">
        <v>397</v>
      </c>
      <c r="V143">
        <v>711005.39</v>
      </c>
      <c r="W143">
        <v>686553.25</v>
      </c>
      <c r="Y143" t="s">
        <v>397</v>
      </c>
      <c r="Z143">
        <v>738504.63</v>
      </c>
      <c r="AA143">
        <v>686553.25</v>
      </c>
      <c r="AC143" t="s">
        <v>399</v>
      </c>
      <c r="AD143">
        <v>-143318.91</v>
      </c>
      <c r="AE143">
        <v>89281.78</v>
      </c>
    </row>
    <row r="144" spans="1:47" x14ac:dyDescent="0.3">
      <c r="E144" s="17"/>
      <c r="F144" s="102">
        <f t="shared" si="11"/>
        <v>0</v>
      </c>
      <c r="G144" t="s">
        <v>330</v>
      </c>
      <c r="H144">
        <v>13320</v>
      </c>
      <c r="I144">
        <v>3843.99</v>
      </c>
      <c r="J144" s="75">
        <f t="shared" si="10"/>
        <v>0</v>
      </c>
      <c r="L144" t="s">
        <v>394</v>
      </c>
      <c r="M144">
        <v>34204.51</v>
      </c>
      <c r="N144">
        <v>41045.74</v>
      </c>
      <c r="P144" t="s">
        <v>395</v>
      </c>
      <c r="Q144">
        <v>49392.29</v>
      </c>
      <c r="R144">
        <v>54125.72</v>
      </c>
      <c r="U144" t="s">
        <v>398</v>
      </c>
      <c r="V144">
        <v>1196589.92</v>
      </c>
      <c r="W144">
        <v>1345806.14</v>
      </c>
      <c r="Y144" t="s">
        <v>398</v>
      </c>
      <c r="Z144">
        <v>1169090.68</v>
      </c>
      <c r="AA144">
        <v>1345806.14</v>
      </c>
    </row>
    <row r="145" spans="1:27" x14ac:dyDescent="0.3">
      <c r="E145" s="17"/>
      <c r="F145" s="102">
        <f t="shared" si="11"/>
        <v>0</v>
      </c>
      <c r="G145" t="s">
        <v>43</v>
      </c>
      <c r="H145">
        <v>27594.78</v>
      </c>
      <c r="I145">
        <v>23900</v>
      </c>
      <c r="J145" s="75">
        <f t="shared" si="10"/>
        <v>0</v>
      </c>
      <c r="L145" t="s">
        <v>332</v>
      </c>
      <c r="M145">
        <v>4680.87</v>
      </c>
      <c r="N145">
        <v>5303.5</v>
      </c>
      <c r="P145" t="s">
        <v>396</v>
      </c>
      <c r="Q145">
        <v>373181.98</v>
      </c>
      <c r="R145">
        <v>375035.43</v>
      </c>
      <c r="U145" t="s">
        <v>399</v>
      </c>
      <c r="V145">
        <v>1196589.92</v>
      </c>
      <c r="W145">
        <v>1345806.14</v>
      </c>
      <c r="Y145" t="s">
        <v>399</v>
      </c>
      <c r="Z145">
        <v>1169090.68</v>
      </c>
      <c r="AA145">
        <v>1345806.14</v>
      </c>
    </row>
    <row r="146" spans="1:27" x14ac:dyDescent="0.3">
      <c r="A146" t="s">
        <v>262</v>
      </c>
      <c r="B146" t="s">
        <v>342</v>
      </c>
      <c r="E146" s="17">
        <f>SUMIFS(E1:E120,A1:A120,A146)</f>
        <v>143754.60999999999</v>
      </c>
      <c r="F146" s="102">
        <f t="shared" si="11"/>
        <v>0</v>
      </c>
      <c r="G146" t="s">
        <v>331</v>
      </c>
      <c r="H146">
        <v>981.56</v>
      </c>
      <c r="I146">
        <v>955.5</v>
      </c>
      <c r="J146" s="75">
        <f t="shared" si="10"/>
        <v>0</v>
      </c>
      <c r="L146" t="s">
        <v>395</v>
      </c>
      <c r="M146">
        <v>57349.84</v>
      </c>
      <c r="N146">
        <v>70246.5</v>
      </c>
      <c r="P146" t="s">
        <v>397</v>
      </c>
      <c r="Q146">
        <v>909004.07</v>
      </c>
      <c r="R146">
        <v>911219.18</v>
      </c>
    </row>
    <row r="147" spans="1:27" x14ac:dyDescent="0.3">
      <c r="B147" t="s">
        <v>343</v>
      </c>
      <c r="E147" s="17">
        <f>'C- Economic Vitality'!F12</f>
        <v>18250</v>
      </c>
      <c r="F147" s="102">
        <f t="shared" si="11"/>
        <v>-44396.34</v>
      </c>
      <c r="G147" t="s">
        <v>394</v>
      </c>
      <c r="H147">
        <v>44396.34</v>
      </c>
      <c r="I147">
        <v>48716.99</v>
      </c>
      <c r="J147" s="75">
        <f t="shared" si="10"/>
        <v>-48716.99</v>
      </c>
      <c r="L147" t="s">
        <v>396</v>
      </c>
      <c r="M147">
        <v>441935.63</v>
      </c>
      <c r="N147">
        <v>454325.31</v>
      </c>
      <c r="P147" t="s">
        <v>398</v>
      </c>
      <c r="Q147">
        <v>1094013.8</v>
      </c>
      <c r="R147">
        <v>1331611.1499999999</v>
      </c>
    </row>
    <row r="148" spans="1:27" x14ac:dyDescent="0.3">
      <c r="E148" s="17"/>
      <c r="F148" s="102">
        <f t="shared" si="11"/>
        <v>0</v>
      </c>
      <c r="G148" t="s">
        <v>332</v>
      </c>
      <c r="H148">
        <v>4680.87</v>
      </c>
      <c r="I148">
        <v>7867.75</v>
      </c>
      <c r="J148" s="75">
        <f t="shared" si="10"/>
        <v>0</v>
      </c>
      <c r="L148" t="s">
        <v>397</v>
      </c>
      <c r="M148">
        <v>1152491.3700000001</v>
      </c>
      <c r="N148">
        <v>1156618.29</v>
      </c>
      <c r="P148" t="s">
        <v>399</v>
      </c>
      <c r="Q148">
        <v>1094013.8</v>
      </c>
      <c r="R148">
        <v>1331611.1499999999</v>
      </c>
    </row>
    <row r="149" spans="1:27" x14ac:dyDescent="0.3">
      <c r="E149" s="17"/>
      <c r="G149" t="s">
        <v>395</v>
      </c>
      <c r="H149">
        <v>67541.67</v>
      </c>
      <c r="I149">
        <v>87003.91</v>
      </c>
      <c r="L149" t="s">
        <v>398</v>
      </c>
      <c r="M149">
        <v>986722.43</v>
      </c>
      <c r="N149">
        <v>1201234.58</v>
      </c>
    </row>
    <row r="150" spans="1:27" x14ac:dyDescent="0.3">
      <c r="A150" t="s">
        <v>308</v>
      </c>
      <c r="B150" t="s">
        <v>342</v>
      </c>
      <c r="E150" s="17">
        <f>SUMIFS(E1:E120,A1:A120,A150)</f>
        <v>217884.19</v>
      </c>
      <c r="G150" t="s">
        <v>396</v>
      </c>
      <c r="H150">
        <v>612080.09</v>
      </c>
      <c r="I150">
        <v>571739.22</v>
      </c>
      <c r="L150" t="s">
        <v>399</v>
      </c>
      <c r="M150">
        <v>986722.43</v>
      </c>
      <c r="N150">
        <v>1201234.58</v>
      </c>
    </row>
    <row r="151" spans="1:27" x14ac:dyDescent="0.3">
      <c r="B151" t="s">
        <v>344</v>
      </c>
      <c r="E151" s="17">
        <f>'D-Placemaking '!F13</f>
        <v>217884.19</v>
      </c>
      <c r="G151" t="s">
        <v>397</v>
      </c>
      <c r="H151">
        <v>1496377.06</v>
      </c>
      <c r="I151">
        <v>1475935.12</v>
      </c>
    </row>
    <row r="152" spans="1:27" x14ac:dyDescent="0.3">
      <c r="G152" t="s">
        <v>398</v>
      </c>
      <c r="H152">
        <v>857909.15</v>
      </c>
      <c r="I152">
        <v>991491.98</v>
      </c>
    </row>
    <row r="153" spans="1:27" x14ac:dyDescent="0.3">
      <c r="B153" t="s">
        <v>586</v>
      </c>
      <c r="E153" s="16">
        <f>E138+E142+E146+E150</f>
        <v>917802.46</v>
      </c>
      <c r="G153" t="s">
        <v>399</v>
      </c>
      <c r="H153">
        <v>857909.15</v>
      </c>
      <c r="I153">
        <v>991491.98</v>
      </c>
    </row>
    <row r="154" spans="1:27" x14ac:dyDescent="0.3">
      <c r="E154" s="54">
        <f>'A- Summary Inc_Ex'!F62</f>
        <v>792297.85</v>
      </c>
    </row>
    <row r="155" spans="1:27" x14ac:dyDescent="0.3">
      <c r="E155" s="16">
        <f>E153-E154</f>
        <v>125504.60999999999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76"/>
  <sheetViews>
    <sheetView topLeftCell="A4" workbookViewId="0">
      <selection activeCell="F72" sqref="F72"/>
    </sheetView>
  </sheetViews>
  <sheetFormatPr defaultRowHeight="14.4" x14ac:dyDescent="0.3"/>
  <cols>
    <col min="1" max="1" width="43.6640625" bestFit="1" customWidth="1"/>
    <col min="2" max="2" width="20" bestFit="1" customWidth="1"/>
    <col min="3" max="3" width="10.6640625" bestFit="1" customWidth="1"/>
    <col min="5" max="5" width="9.5546875" bestFit="1" customWidth="1"/>
    <col min="6" max="6" width="12.109375" customWidth="1"/>
    <col min="7" max="7" width="10.109375" customWidth="1"/>
    <col min="8" max="8" width="11.5546875" bestFit="1" customWidth="1"/>
    <col min="9" max="9" width="4.5546875" customWidth="1"/>
    <col min="10" max="10" width="12.5546875" bestFit="1" customWidth="1"/>
    <col min="11" max="11" width="4" customWidth="1"/>
    <col min="12" max="12" width="12.44140625" bestFit="1" customWidth="1"/>
    <col min="14" max="14" width="11" bestFit="1" customWidth="1"/>
    <col min="17" max="17" width="10.5546875" bestFit="1" customWidth="1"/>
    <col min="18" max="18" width="12.33203125" bestFit="1" customWidth="1"/>
    <col min="22" max="22" width="9.5546875" bestFit="1" customWidth="1"/>
  </cols>
  <sheetData>
    <row r="1" spans="1:22" ht="33.75" customHeight="1" x14ac:dyDescent="0.3">
      <c r="A1" s="135" t="s">
        <v>197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</row>
    <row r="2" spans="1:22" x14ac:dyDescent="0.3">
      <c r="A2" s="18" t="s">
        <v>167</v>
      </c>
      <c r="B2" s="18" t="s">
        <v>163</v>
      </c>
      <c r="C2" s="18" t="s">
        <v>164</v>
      </c>
      <c r="D2" s="18" t="s">
        <v>165</v>
      </c>
      <c r="E2" s="18" t="s">
        <v>172</v>
      </c>
      <c r="F2" s="18" t="s">
        <v>169</v>
      </c>
      <c r="G2" s="24" t="s">
        <v>170</v>
      </c>
      <c r="H2" s="18" t="s">
        <v>173</v>
      </c>
      <c r="I2" s="25"/>
      <c r="J2" s="133" t="s">
        <v>174</v>
      </c>
      <c r="K2" s="134"/>
      <c r="L2" s="134"/>
      <c r="M2" s="25"/>
      <c r="N2" s="18" t="s">
        <v>175</v>
      </c>
      <c r="O2" s="19"/>
      <c r="P2" s="132" t="s">
        <v>176</v>
      </c>
      <c r="Q2" s="132"/>
      <c r="R2" s="134"/>
      <c r="S2" s="19"/>
      <c r="T2" s="132" t="s">
        <v>177</v>
      </c>
      <c r="U2" s="131"/>
      <c r="V2" s="131"/>
    </row>
    <row r="3" spans="1:22" x14ac:dyDescent="0.3">
      <c r="A3" s="21" t="s">
        <v>168</v>
      </c>
      <c r="B3" s="19"/>
      <c r="C3" s="20"/>
      <c r="D3" s="20" t="s">
        <v>166</v>
      </c>
      <c r="E3" s="20" t="s">
        <v>189</v>
      </c>
      <c r="F3" s="22">
        <v>45444</v>
      </c>
      <c r="G3" s="23" t="s">
        <v>171</v>
      </c>
      <c r="H3" s="19"/>
      <c r="I3" s="25"/>
      <c r="J3" s="27" t="s">
        <v>178</v>
      </c>
      <c r="K3" s="19"/>
      <c r="L3" s="27" t="s">
        <v>178</v>
      </c>
      <c r="M3" s="25"/>
      <c r="N3" s="27" t="s">
        <v>179</v>
      </c>
      <c r="O3" s="19"/>
      <c r="P3" s="132" t="s">
        <v>180</v>
      </c>
      <c r="Q3" s="132"/>
      <c r="R3" s="26" t="s">
        <v>181</v>
      </c>
      <c r="S3" s="19"/>
      <c r="T3" s="132" t="s">
        <v>182</v>
      </c>
      <c r="U3" s="132"/>
      <c r="V3" s="134"/>
    </row>
    <row r="4" spans="1:22" x14ac:dyDescent="0.3">
      <c r="A4" s="19"/>
      <c r="B4" s="19"/>
      <c r="C4" s="19"/>
      <c r="D4" s="19"/>
      <c r="E4" s="19"/>
      <c r="F4" s="19"/>
      <c r="G4" s="23" t="s">
        <v>172</v>
      </c>
      <c r="H4" s="19"/>
      <c r="I4" s="25"/>
      <c r="J4" s="28" t="s">
        <v>183</v>
      </c>
      <c r="K4" s="19"/>
      <c r="L4" s="28" t="s">
        <v>184</v>
      </c>
      <c r="M4" s="25"/>
      <c r="N4" s="26" t="s">
        <v>185</v>
      </c>
      <c r="O4" s="19"/>
      <c r="P4" s="132" t="s">
        <v>186</v>
      </c>
      <c r="Q4" s="132"/>
      <c r="R4" s="26" t="s">
        <v>186</v>
      </c>
      <c r="S4" s="19"/>
      <c r="T4" s="26" t="s">
        <v>187</v>
      </c>
      <c r="U4" s="26" t="s">
        <v>170</v>
      </c>
      <c r="V4" s="26" t="s">
        <v>188</v>
      </c>
    </row>
    <row r="5" spans="1:22" x14ac:dyDescent="0.3">
      <c r="A5" s="19"/>
      <c r="B5" s="19"/>
      <c r="C5" s="19"/>
      <c r="D5" s="19"/>
      <c r="E5" s="19"/>
      <c r="F5" s="19"/>
      <c r="G5" s="19"/>
      <c r="H5" s="19"/>
      <c r="I5" s="25"/>
      <c r="J5" s="29">
        <v>6.2E-2</v>
      </c>
      <c r="K5" s="19"/>
      <c r="L5" s="29">
        <v>1.4500000000000001E-2</v>
      </c>
      <c r="M5" s="25"/>
      <c r="N5" s="30">
        <v>5.3999999999999999E-2</v>
      </c>
      <c r="O5" s="19"/>
      <c r="P5" s="25"/>
      <c r="Q5" s="25"/>
      <c r="R5" s="25"/>
      <c r="S5" s="19"/>
    </row>
    <row r="6" spans="1:22" ht="15" thickBot="1" x14ac:dyDescent="0.35">
      <c r="A6" s="19"/>
      <c r="B6" s="19"/>
      <c r="C6" s="19"/>
      <c r="D6" s="19"/>
      <c r="E6" s="19"/>
      <c r="F6" s="19"/>
      <c r="G6" s="19"/>
      <c r="H6" s="19"/>
      <c r="I6" s="25"/>
      <c r="J6" s="31">
        <v>9114</v>
      </c>
      <c r="K6" s="19"/>
      <c r="L6" s="32"/>
      <c r="M6" s="25"/>
      <c r="N6" s="33">
        <v>7000</v>
      </c>
      <c r="O6" s="19"/>
      <c r="P6" s="34" t="s">
        <v>166</v>
      </c>
      <c r="Q6" s="34" t="s">
        <v>189</v>
      </c>
      <c r="R6" s="34" t="s">
        <v>189</v>
      </c>
      <c r="S6" s="19"/>
    </row>
    <row r="7" spans="1:22" x14ac:dyDescent="0.3">
      <c r="A7" t="s">
        <v>150</v>
      </c>
      <c r="B7" t="s">
        <v>151</v>
      </c>
      <c r="C7" s="15">
        <v>44866</v>
      </c>
      <c r="D7" s="39"/>
      <c r="E7" s="16">
        <f>ROUND(F7*24*D7,2)</f>
        <v>0</v>
      </c>
      <c r="F7" s="16">
        <v>2708.34</v>
      </c>
      <c r="G7" s="16">
        <f>F7+E7</f>
        <v>2708.34</v>
      </c>
      <c r="H7" s="16">
        <f>ROUNDUP(G7*24,2)</f>
        <v>65000.160000000003</v>
      </c>
      <c r="I7" s="25"/>
      <c r="J7" s="16">
        <f>IF(ROUND((H7+V7)*$J$5,2)&lt;$J$6,ROUND((H7+V7)*$J$5,2),$J$6)</f>
        <v>4067.21</v>
      </c>
      <c r="K7" s="25"/>
      <c r="L7" s="16">
        <f>ROUND((H7+V7)*$L$5,2)</f>
        <v>951.2</v>
      </c>
      <c r="M7" s="25"/>
      <c r="N7" s="16">
        <f>IF((H7+V7)&gt;$N$6,$N$6,H7*$N$5)</f>
        <v>7000</v>
      </c>
      <c r="O7" s="25"/>
      <c r="P7" s="35">
        <v>7.0000000000000007E-2</v>
      </c>
      <c r="Q7" s="16">
        <f>ROUND(H7*P7,2)</f>
        <v>4550.01</v>
      </c>
      <c r="R7" s="16">
        <f>ROUND(Q7/12,2)</f>
        <v>379.17</v>
      </c>
      <c r="T7" s="17">
        <f>IF(H7&gt;0,50,0)</f>
        <v>50</v>
      </c>
      <c r="U7" s="16">
        <f>T7/2</f>
        <v>25</v>
      </c>
      <c r="V7" s="16">
        <f>U7*24</f>
        <v>600</v>
      </c>
    </row>
    <row r="8" spans="1:22" x14ac:dyDescent="0.3">
      <c r="A8" t="s">
        <v>152</v>
      </c>
      <c r="B8" t="s">
        <v>153</v>
      </c>
      <c r="C8" s="15">
        <v>45055</v>
      </c>
      <c r="D8" s="39"/>
      <c r="E8" s="16">
        <f t="shared" ref="E8:E13" si="0">ROUND(F8*24*D8,2)</f>
        <v>0</v>
      </c>
      <c r="F8" s="16">
        <v>2083.34</v>
      </c>
      <c r="G8" s="16">
        <f t="shared" ref="G8:G13" si="1">F8+E8</f>
        <v>2083.34</v>
      </c>
      <c r="H8" s="16">
        <f t="shared" ref="H8:H12" si="2">ROUNDUP(G8*24,2)</f>
        <v>50000.160000000003</v>
      </c>
      <c r="I8" s="25"/>
      <c r="J8" s="16">
        <f t="shared" ref="J8:J13" si="3">IF(ROUND((H8+V8)*$J$5,2)&lt;$J$6,ROUND((H8+V8)*$J$5,2),$J$6)</f>
        <v>3137.21</v>
      </c>
      <c r="K8" s="25"/>
      <c r="L8" s="16">
        <f t="shared" ref="L8:L13" si="4">ROUND((H8+V8)*$L$5,2)</f>
        <v>733.7</v>
      </c>
      <c r="M8" s="25"/>
      <c r="N8" s="16">
        <f t="shared" ref="N8:N13" si="5">IF((H8+V8)&gt;$N$6,$N$6,H8*$N$5)</f>
        <v>7000</v>
      </c>
      <c r="O8" s="25"/>
      <c r="P8" s="35">
        <v>7.0000000000000007E-2</v>
      </c>
      <c r="Q8" s="16">
        <f t="shared" ref="Q8:Q12" si="6">ROUND(H8*P8,2)</f>
        <v>3500.01</v>
      </c>
      <c r="R8" s="16">
        <f t="shared" ref="R8:R12" si="7">ROUND(Q8/12,2)</f>
        <v>291.67</v>
      </c>
      <c r="T8" s="17">
        <f>IF(H8&gt;0,50,0)</f>
        <v>50</v>
      </c>
      <c r="U8" s="16">
        <f t="shared" ref="U8:U13" si="8">T8/2</f>
        <v>25</v>
      </c>
      <c r="V8" s="16">
        <f t="shared" ref="V8:V13" si="9">U8*24</f>
        <v>600</v>
      </c>
    </row>
    <row r="9" spans="1:22" x14ac:dyDescent="0.3">
      <c r="A9" t="s">
        <v>154</v>
      </c>
      <c r="B9" t="s">
        <v>155</v>
      </c>
      <c r="C9" s="15">
        <v>44835</v>
      </c>
      <c r="D9" s="39"/>
      <c r="E9" s="16">
        <f t="shared" si="0"/>
        <v>0</v>
      </c>
      <c r="F9" s="16">
        <v>3541.67</v>
      </c>
      <c r="G9" s="16">
        <f t="shared" si="1"/>
        <v>3541.67</v>
      </c>
      <c r="H9" s="16">
        <f t="shared" si="2"/>
        <v>85000.08</v>
      </c>
      <c r="I9" s="25"/>
      <c r="J9" s="16">
        <f t="shared" si="3"/>
        <v>5307.2</v>
      </c>
      <c r="K9" s="25"/>
      <c r="L9" s="16">
        <f t="shared" si="4"/>
        <v>1241.2</v>
      </c>
      <c r="M9" s="25"/>
      <c r="N9" s="16">
        <f t="shared" si="5"/>
        <v>7000</v>
      </c>
      <c r="O9" s="25"/>
      <c r="P9" s="35">
        <v>7.0000000000000007E-2</v>
      </c>
      <c r="Q9" s="16">
        <f t="shared" si="6"/>
        <v>5950.01</v>
      </c>
      <c r="R9" s="16">
        <f t="shared" si="7"/>
        <v>495.83</v>
      </c>
      <c r="T9" s="17">
        <f>IF(H9&gt;0,50,0)</f>
        <v>50</v>
      </c>
      <c r="U9" s="16">
        <f t="shared" si="8"/>
        <v>25</v>
      </c>
      <c r="V9" s="16">
        <f t="shared" si="9"/>
        <v>600</v>
      </c>
    </row>
    <row r="10" spans="1:22" x14ac:dyDescent="0.3">
      <c r="A10" t="s">
        <v>156</v>
      </c>
      <c r="B10" t="s">
        <v>157</v>
      </c>
      <c r="C10" s="15">
        <v>40369</v>
      </c>
      <c r="D10" s="39"/>
      <c r="E10" s="16">
        <f t="shared" si="0"/>
        <v>0</v>
      </c>
      <c r="F10" s="16">
        <v>4914.16</v>
      </c>
      <c r="G10" s="16">
        <f t="shared" si="1"/>
        <v>4914.16</v>
      </c>
      <c r="H10" s="16">
        <f t="shared" si="2"/>
        <v>117939.84</v>
      </c>
      <c r="I10" s="25"/>
      <c r="J10" s="16">
        <f t="shared" si="3"/>
        <v>7375.51</v>
      </c>
      <c r="K10" s="25"/>
      <c r="L10" s="16">
        <f t="shared" si="4"/>
        <v>1724.92</v>
      </c>
      <c r="M10" s="25"/>
      <c r="N10" s="16">
        <f t="shared" si="5"/>
        <v>7000</v>
      </c>
      <c r="O10" s="25"/>
      <c r="P10" s="35">
        <v>0.1</v>
      </c>
      <c r="Q10" s="16">
        <f t="shared" si="6"/>
        <v>11793.98</v>
      </c>
      <c r="R10" s="16">
        <f t="shared" si="7"/>
        <v>982.83</v>
      </c>
      <c r="T10" s="17">
        <f>IF(H10&gt;0,85,0)</f>
        <v>85</v>
      </c>
      <c r="U10" s="16">
        <f t="shared" si="8"/>
        <v>42.5</v>
      </c>
      <c r="V10" s="16">
        <f>U10*24</f>
        <v>1020</v>
      </c>
    </row>
    <row r="11" spans="1:22" x14ac:dyDescent="0.3">
      <c r="A11" t="s">
        <v>116</v>
      </c>
      <c r="B11" t="s">
        <v>158</v>
      </c>
      <c r="C11" s="15">
        <v>44018</v>
      </c>
      <c r="D11" s="39"/>
      <c r="E11" s="16">
        <f t="shared" si="0"/>
        <v>0</v>
      </c>
      <c r="F11" s="16">
        <v>3062.5</v>
      </c>
      <c r="G11" s="16">
        <f t="shared" si="1"/>
        <v>3062.5</v>
      </c>
      <c r="H11" s="16">
        <f t="shared" si="2"/>
        <v>73500</v>
      </c>
      <c r="I11" s="25"/>
      <c r="J11" s="16">
        <f t="shared" si="3"/>
        <v>4594.2</v>
      </c>
      <c r="K11" s="25"/>
      <c r="L11" s="16">
        <f t="shared" si="4"/>
        <v>1074.45</v>
      </c>
      <c r="M11" s="25"/>
      <c r="N11" s="16">
        <f t="shared" si="5"/>
        <v>7000</v>
      </c>
      <c r="O11" s="25"/>
      <c r="P11" s="35">
        <v>7.0000000000000007E-2</v>
      </c>
      <c r="Q11" s="16">
        <f t="shared" si="6"/>
        <v>5145</v>
      </c>
      <c r="R11" s="16">
        <f t="shared" si="7"/>
        <v>428.75</v>
      </c>
      <c r="T11" s="17">
        <f t="shared" ref="T11:T13" si="10">IF(H11&gt;0,50,0)</f>
        <v>50</v>
      </c>
      <c r="U11" s="16">
        <f t="shared" si="8"/>
        <v>25</v>
      </c>
      <c r="V11" s="16">
        <f t="shared" si="9"/>
        <v>600</v>
      </c>
    </row>
    <row r="12" spans="1:22" x14ac:dyDescent="0.3">
      <c r="A12" t="s">
        <v>159</v>
      </c>
      <c r="B12" t="s">
        <v>160</v>
      </c>
      <c r="C12" s="15">
        <v>44511</v>
      </c>
      <c r="D12" s="39"/>
      <c r="E12" s="16">
        <f t="shared" si="0"/>
        <v>0</v>
      </c>
      <c r="F12" s="16">
        <v>2166.67</v>
      </c>
      <c r="G12" s="16">
        <f t="shared" si="1"/>
        <v>2166.67</v>
      </c>
      <c r="H12" s="16">
        <f t="shared" si="2"/>
        <v>52000.08</v>
      </c>
      <c r="I12" s="25"/>
      <c r="J12" s="16">
        <f t="shared" si="3"/>
        <v>3261.2</v>
      </c>
      <c r="K12" s="25"/>
      <c r="L12" s="16">
        <f t="shared" si="4"/>
        <v>762.7</v>
      </c>
      <c r="M12" s="25"/>
      <c r="N12" s="16">
        <f t="shared" si="5"/>
        <v>7000</v>
      </c>
      <c r="O12" s="25"/>
      <c r="P12" s="35">
        <v>7.0000000000000007E-2</v>
      </c>
      <c r="Q12" s="16">
        <f t="shared" si="6"/>
        <v>3640.01</v>
      </c>
      <c r="R12" s="16">
        <f t="shared" si="7"/>
        <v>303.33</v>
      </c>
      <c r="T12" s="17">
        <f>IF(H12&gt;0,50,0)</f>
        <v>50</v>
      </c>
      <c r="U12" s="16">
        <f t="shared" si="8"/>
        <v>25</v>
      </c>
      <c r="V12" s="16">
        <f t="shared" si="9"/>
        <v>600</v>
      </c>
    </row>
    <row r="13" spans="1:22" x14ac:dyDescent="0.3">
      <c r="A13" t="s">
        <v>161</v>
      </c>
      <c r="B13" t="s">
        <v>162</v>
      </c>
      <c r="C13" s="15">
        <v>43192</v>
      </c>
      <c r="D13" s="39"/>
      <c r="E13" s="16">
        <f t="shared" si="0"/>
        <v>0</v>
      </c>
      <c r="F13" s="16">
        <v>1485.32</v>
      </c>
      <c r="G13" s="16">
        <f t="shared" si="1"/>
        <v>1485.32</v>
      </c>
      <c r="H13" s="16">
        <f>ROUNDUP(G13*24,2)</f>
        <v>35647.68</v>
      </c>
      <c r="I13" s="25"/>
      <c r="J13" s="16">
        <f t="shared" si="3"/>
        <v>2247.36</v>
      </c>
      <c r="K13" s="25"/>
      <c r="L13" s="16">
        <f t="shared" si="4"/>
        <v>525.59</v>
      </c>
      <c r="M13" s="25"/>
      <c r="N13" s="16">
        <f t="shared" si="5"/>
        <v>7000</v>
      </c>
      <c r="O13" s="25"/>
      <c r="T13" s="17">
        <f t="shared" si="10"/>
        <v>50</v>
      </c>
      <c r="U13" s="16">
        <f t="shared" si="8"/>
        <v>25</v>
      </c>
      <c r="V13" s="16">
        <f t="shared" si="9"/>
        <v>600</v>
      </c>
    </row>
    <row r="14" spans="1:22" x14ac:dyDescent="0.3">
      <c r="C14" s="15"/>
      <c r="F14" s="16"/>
      <c r="G14" s="16"/>
      <c r="H14" s="16">
        <f>SUM(H7:H13)</f>
        <v>479088</v>
      </c>
      <c r="I14" s="25"/>
      <c r="J14" s="16">
        <f>SUM(J7:J13)</f>
        <v>29989.89</v>
      </c>
      <c r="K14" s="25"/>
      <c r="L14" s="16">
        <f>SUM(L7:L13)</f>
        <v>7013.76</v>
      </c>
      <c r="M14" s="25"/>
      <c r="N14" s="16">
        <f>SUM(N7:N13)</f>
        <v>49000</v>
      </c>
      <c r="O14" s="25"/>
      <c r="Q14" s="16">
        <f>SUM(Q7:Q13)</f>
        <v>34579.020000000004</v>
      </c>
      <c r="R14" s="16"/>
      <c r="T14" s="17"/>
      <c r="U14" s="16"/>
      <c r="V14" s="16">
        <f>SUM(V7:V13)</f>
        <v>4620</v>
      </c>
    </row>
    <row r="16" spans="1:22" x14ac:dyDescent="0.3">
      <c r="A16" s="18" t="s">
        <v>190</v>
      </c>
    </row>
    <row r="17" spans="1:23" x14ac:dyDescent="0.3">
      <c r="A17" s="36" t="s">
        <v>191</v>
      </c>
      <c r="B17" s="16">
        <f>SUM(H7:H10)+H12+SUM(V7:V10)+V12</f>
        <v>373360.32</v>
      </c>
    </row>
    <row r="18" spans="1:23" x14ac:dyDescent="0.3">
      <c r="A18" s="36" t="s">
        <v>192</v>
      </c>
      <c r="B18" s="16">
        <f>SUM(J7:J10)+J12+SUM(L7:L10)+L12+SUM(N7:N10)+N12</f>
        <v>63562.05</v>
      </c>
    </row>
    <row r="19" spans="1:23" x14ac:dyDescent="0.3">
      <c r="A19" s="36" t="s">
        <v>193</v>
      </c>
      <c r="B19" s="16">
        <f>SUM(Q7:Q10)+Q12</f>
        <v>29434.020000000004</v>
      </c>
    </row>
    <row r="20" spans="1:23" x14ac:dyDescent="0.3">
      <c r="A20" s="36" t="s">
        <v>194</v>
      </c>
      <c r="B20" s="16">
        <f>H13+J13+L13+N13+R13+V13</f>
        <v>46020.63</v>
      </c>
    </row>
    <row r="21" spans="1:23" ht="15" thickBot="1" x14ac:dyDescent="0.35">
      <c r="A21" s="36" t="s">
        <v>195</v>
      </c>
      <c r="B21" s="38">
        <f>H11+J11+L11+N11+Q11+V11</f>
        <v>91913.65</v>
      </c>
    </row>
    <row r="22" spans="1:23" x14ac:dyDescent="0.3">
      <c r="A22" s="37" t="s">
        <v>196</v>
      </c>
      <c r="B22" s="16">
        <f>SUM(B17:B21)</f>
        <v>604290.67000000004</v>
      </c>
    </row>
    <row r="23" spans="1:23" x14ac:dyDescent="0.3">
      <c r="B23" s="16"/>
    </row>
    <row r="24" spans="1:23" ht="15" thickBot="1" x14ac:dyDescent="0.35">
      <c r="A24" s="40"/>
      <c r="B24" s="38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8" spans="1:23" x14ac:dyDescent="0.3">
      <c r="A28" s="18" t="s">
        <v>167</v>
      </c>
      <c r="B28" s="18" t="s">
        <v>163</v>
      </c>
      <c r="C28" s="18" t="s">
        <v>164</v>
      </c>
      <c r="D28" s="18" t="s">
        <v>165</v>
      </c>
      <c r="E28" s="18" t="s">
        <v>172</v>
      </c>
      <c r="F28" s="18" t="s">
        <v>169</v>
      </c>
      <c r="G28" s="24" t="s">
        <v>170</v>
      </c>
      <c r="H28" s="18" t="s">
        <v>173</v>
      </c>
      <c r="I28" s="25"/>
      <c r="J28" s="133" t="s">
        <v>174</v>
      </c>
      <c r="K28" s="134"/>
      <c r="L28" s="134"/>
      <c r="M28" s="25"/>
      <c r="N28" s="18" t="s">
        <v>175</v>
      </c>
      <c r="O28" s="19"/>
      <c r="P28" s="132" t="s">
        <v>176</v>
      </c>
      <c r="Q28" s="132"/>
      <c r="R28" s="134"/>
      <c r="S28" s="19"/>
      <c r="T28" s="132" t="s">
        <v>177</v>
      </c>
      <c r="U28" s="131"/>
      <c r="V28" s="131"/>
    </row>
    <row r="29" spans="1:23" x14ac:dyDescent="0.3">
      <c r="A29" s="21" t="s">
        <v>168</v>
      </c>
      <c r="B29" s="19"/>
      <c r="C29" s="20"/>
      <c r="D29" s="20" t="s">
        <v>166</v>
      </c>
      <c r="E29" s="20" t="s">
        <v>189</v>
      </c>
      <c r="F29" s="22">
        <v>45444</v>
      </c>
      <c r="G29" s="23" t="s">
        <v>171</v>
      </c>
      <c r="H29" s="19"/>
      <c r="I29" s="25"/>
      <c r="J29" s="27" t="s">
        <v>178</v>
      </c>
      <c r="K29" s="19"/>
      <c r="L29" s="27" t="s">
        <v>178</v>
      </c>
      <c r="M29" s="25"/>
      <c r="N29" s="27" t="s">
        <v>179</v>
      </c>
      <c r="O29" s="19"/>
      <c r="P29" s="132" t="s">
        <v>180</v>
      </c>
      <c r="Q29" s="132"/>
      <c r="R29" s="26" t="s">
        <v>181</v>
      </c>
      <c r="S29" s="19"/>
      <c r="T29" s="132" t="s">
        <v>182</v>
      </c>
      <c r="U29" s="132"/>
      <c r="V29" s="134"/>
    </row>
    <row r="30" spans="1:23" x14ac:dyDescent="0.3">
      <c r="A30" s="19"/>
      <c r="B30" s="19"/>
      <c r="C30" s="19"/>
      <c r="D30" s="19"/>
      <c r="E30" s="19"/>
      <c r="F30" s="19"/>
      <c r="G30" s="23" t="s">
        <v>172</v>
      </c>
      <c r="H30" s="19"/>
      <c r="I30" s="25"/>
      <c r="J30" s="28" t="s">
        <v>183</v>
      </c>
      <c r="K30" s="19"/>
      <c r="L30" s="28" t="s">
        <v>184</v>
      </c>
      <c r="M30" s="25"/>
      <c r="N30" s="26" t="s">
        <v>185</v>
      </c>
      <c r="O30" s="19"/>
      <c r="P30" s="132" t="s">
        <v>186</v>
      </c>
      <c r="Q30" s="132"/>
      <c r="R30" s="26" t="s">
        <v>186</v>
      </c>
      <c r="S30" s="19"/>
      <c r="T30" s="26" t="s">
        <v>187</v>
      </c>
      <c r="U30" s="26" t="s">
        <v>170</v>
      </c>
      <c r="V30" s="26" t="s">
        <v>188</v>
      </c>
    </row>
    <row r="31" spans="1:23" x14ac:dyDescent="0.3">
      <c r="A31" s="19"/>
      <c r="B31" s="19"/>
      <c r="C31" s="19"/>
      <c r="D31" s="19"/>
      <c r="E31" s="19"/>
      <c r="F31" s="19"/>
      <c r="G31" s="19"/>
      <c r="H31" s="19"/>
      <c r="I31" s="25"/>
      <c r="J31" s="29">
        <v>6.2E-2</v>
      </c>
      <c r="K31" s="19"/>
      <c r="L31" s="29">
        <v>1.4500000000000001E-2</v>
      </c>
      <c r="M31" s="25"/>
      <c r="N31" s="30">
        <v>5.3999999999999999E-2</v>
      </c>
      <c r="O31" s="19"/>
      <c r="P31" s="25"/>
      <c r="Q31" s="25"/>
      <c r="R31" s="25"/>
      <c r="S31" s="19"/>
    </row>
    <row r="32" spans="1:23" ht="15" thickBot="1" x14ac:dyDescent="0.35">
      <c r="A32" s="19"/>
      <c r="B32" s="19"/>
      <c r="C32" s="19"/>
      <c r="D32" s="19"/>
      <c r="E32" s="19"/>
      <c r="F32" s="19"/>
      <c r="G32" s="19"/>
      <c r="H32" s="19"/>
      <c r="I32" s="25"/>
      <c r="J32" s="31">
        <v>9114</v>
      </c>
      <c r="K32" s="19"/>
      <c r="L32" s="32"/>
      <c r="M32" s="25"/>
      <c r="N32" s="33">
        <v>7000</v>
      </c>
      <c r="O32" s="19"/>
      <c r="P32" s="34" t="s">
        <v>166</v>
      </c>
      <c r="Q32" s="34" t="s">
        <v>189</v>
      </c>
      <c r="R32" s="34" t="s">
        <v>189</v>
      </c>
      <c r="S32" s="19"/>
    </row>
    <row r="33" spans="1:22" x14ac:dyDescent="0.3">
      <c r="A33" t="s">
        <v>150</v>
      </c>
      <c r="B33" t="s">
        <v>151</v>
      </c>
      <c r="C33" s="15">
        <v>44866</v>
      </c>
      <c r="D33" s="39">
        <v>0.04</v>
      </c>
      <c r="E33" s="16">
        <f>ROUND(F33*D33,2)</f>
        <v>108.33</v>
      </c>
      <c r="F33" s="16">
        <v>2708.34</v>
      </c>
      <c r="G33" s="16">
        <f>F33+E33</f>
        <v>2816.67</v>
      </c>
      <c r="H33" s="16">
        <f>ROUNDUP(G33*24,2)</f>
        <v>67600.08</v>
      </c>
      <c r="I33" s="25"/>
      <c r="J33" s="16">
        <f>IF(ROUND((H33+V33)*$J$5,2)&lt;$J$6,ROUND((H33+V33)*$J$5,2),$J$6)</f>
        <v>4228.3999999999996</v>
      </c>
      <c r="K33" s="25"/>
      <c r="L33" s="16">
        <f>ROUND((H33+V33)*$L$5,2)</f>
        <v>988.9</v>
      </c>
      <c r="M33" s="25"/>
      <c r="N33" s="16">
        <f>IF((H33+V33)&gt;$N$6,$N$6,H33*$N$5)</f>
        <v>7000</v>
      </c>
      <c r="O33" s="25"/>
      <c r="P33" s="35">
        <v>7.0000000000000007E-2</v>
      </c>
      <c r="Q33" s="16">
        <f>ROUND(H33*P33,2)</f>
        <v>4732.01</v>
      </c>
      <c r="R33" s="16">
        <f>ROUND(Q33/12,2)</f>
        <v>394.33</v>
      </c>
      <c r="T33" s="17">
        <f>IF(H33&gt;0,50,0)</f>
        <v>50</v>
      </c>
      <c r="U33" s="16">
        <f>T33/2</f>
        <v>25</v>
      </c>
      <c r="V33" s="16">
        <f>U33*24</f>
        <v>600</v>
      </c>
    </row>
    <row r="34" spans="1:22" x14ac:dyDescent="0.3">
      <c r="A34" t="s">
        <v>152</v>
      </c>
      <c r="B34" t="s">
        <v>153</v>
      </c>
      <c r="C34" s="15">
        <v>45055</v>
      </c>
      <c r="D34" s="39">
        <v>0.04</v>
      </c>
      <c r="E34" s="16">
        <f t="shared" ref="E34:E39" si="11">ROUND(F34*D34,2)</f>
        <v>83.33</v>
      </c>
      <c r="F34" s="16">
        <v>2083.34</v>
      </c>
      <c r="G34" s="16">
        <f t="shared" ref="G34:G39" si="12">F34+E34</f>
        <v>2166.67</v>
      </c>
      <c r="H34" s="16">
        <f t="shared" ref="H34:H38" si="13">ROUNDUP(G34*24,2)</f>
        <v>52000.08</v>
      </c>
      <c r="I34" s="25"/>
      <c r="J34" s="16">
        <f t="shared" ref="J34:J39" si="14">IF(ROUND((H34+V34)*$J$5,2)&lt;$J$6,ROUND((H34+V34)*$J$5,2),$J$6)</f>
        <v>3261.2</v>
      </c>
      <c r="K34" s="25"/>
      <c r="L34" s="16">
        <f t="shared" ref="L34:L39" si="15">ROUND((H34+V34)*$L$5,2)</f>
        <v>762.7</v>
      </c>
      <c r="M34" s="25"/>
      <c r="N34" s="16">
        <f t="shared" ref="N34:N39" si="16">IF((H34+V34)&gt;$N$6,$N$6,H34*$N$5)</f>
        <v>7000</v>
      </c>
      <c r="O34" s="25"/>
      <c r="P34" s="35">
        <v>7.0000000000000007E-2</v>
      </c>
      <c r="Q34" s="16">
        <f t="shared" ref="Q34:Q38" si="17">ROUND(H34*P34,2)</f>
        <v>3640.01</v>
      </c>
      <c r="R34" s="16">
        <f t="shared" ref="R34:R38" si="18">ROUND(Q34/12,2)</f>
        <v>303.33</v>
      </c>
      <c r="T34" s="17">
        <f>IF(H34&gt;0,50,0)</f>
        <v>50</v>
      </c>
      <c r="U34" s="16">
        <f t="shared" ref="U34:U39" si="19">T34/2</f>
        <v>25</v>
      </c>
      <c r="V34" s="16">
        <f t="shared" ref="V34:V39" si="20">U34*24</f>
        <v>600</v>
      </c>
    </row>
    <row r="35" spans="1:22" x14ac:dyDescent="0.3">
      <c r="A35" t="s">
        <v>154</v>
      </c>
      <c r="B35" t="s">
        <v>155</v>
      </c>
      <c r="C35" s="15">
        <v>44835</v>
      </c>
      <c r="D35" s="39">
        <v>0.04</v>
      </c>
      <c r="E35" s="16">
        <f t="shared" si="11"/>
        <v>141.66999999999999</v>
      </c>
      <c r="F35" s="16">
        <v>3541.67</v>
      </c>
      <c r="G35" s="16">
        <f t="shared" si="12"/>
        <v>3683.34</v>
      </c>
      <c r="H35" s="16">
        <f t="shared" si="13"/>
        <v>88400.16</v>
      </c>
      <c r="I35" s="25"/>
      <c r="J35" s="16">
        <f t="shared" si="14"/>
        <v>5518.01</v>
      </c>
      <c r="K35" s="25"/>
      <c r="L35" s="16">
        <f t="shared" si="15"/>
        <v>1290.5</v>
      </c>
      <c r="M35" s="25"/>
      <c r="N35" s="16">
        <f t="shared" si="16"/>
        <v>7000</v>
      </c>
      <c r="O35" s="25"/>
      <c r="P35" s="35">
        <v>7.0000000000000007E-2</v>
      </c>
      <c r="Q35" s="16">
        <f t="shared" si="17"/>
        <v>6188.01</v>
      </c>
      <c r="R35" s="16">
        <f t="shared" si="18"/>
        <v>515.66999999999996</v>
      </c>
      <c r="T35" s="17">
        <f>IF(H35&gt;0,50,0)</f>
        <v>50</v>
      </c>
      <c r="U35" s="16">
        <f t="shared" si="19"/>
        <v>25</v>
      </c>
      <c r="V35" s="16">
        <f t="shared" si="20"/>
        <v>600</v>
      </c>
    </row>
    <row r="36" spans="1:22" x14ac:dyDescent="0.3">
      <c r="A36" t="s">
        <v>156</v>
      </c>
      <c r="B36" t="s">
        <v>157</v>
      </c>
      <c r="C36" s="15">
        <v>40369</v>
      </c>
      <c r="D36" s="39">
        <v>0.04</v>
      </c>
      <c r="E36" s="16">
        <f t="shared" si="11"/>
        <v>196.57</v>
      </c>
      <c r="F36" s="16">
        <v>4914.16</v>
      </c>
      <c r="G36" s="16">
        <f t="shared" si="12"/>
        <v>5110.7299999999996</v>
      </c>
      <c r="H36" s="16">
        <f t="shared" si="13"/>
        <v>122657.52</v>
      </c>
      <c r="I36" s="25"/>
      <c r="J36" s="16">
        <f t="shared" si="14"/>
        <v>7668.01</v>
      </c>
      <c r="K36" s="25"/>
      <c r="L36" s="16">
        <f t="shared" si="15"/>
        <v>1793.32</v>
      </c>
      <c r="M36" s="25"/>
      <c r="N36" s="16">
        <f t="shared" si="16"/>
        <v>7000</v>
      </c>
      <c r="O36" s="25"/>
      <c r="P36" s="35">
        <v>0.1</v>
      </c>
      <c r="Q36" s="16">
        <f t="shared" si="17"/>
        <v>12265.75</v>
      </c>
      <c r="R36" s="16">
        <f t="shared" si="18"/>
        <v>1022.15</v>
      </c>
      <c r="T36" s="17">
        <f>IF(H36&gt;0,85,0)</f>
        <v>85</v>
      </c>
      <c r="U36" s="16">
        <f t="shared" si="19"/>
        <v>42.5</v>
      </c>
      <c r="V36" s="16">
        <f>U36*24</f>
        <v>1020</v>
      </c>
    </row>
    <row r="37" spans="1:22" x14ac:dyDescent="0.3">
      <c r="A37" t="s">
        <v>116</v>
      </c>
      <c r="B37" t="s">
        <v>158</v>
      </c>
      <c r="C37" s="15">
        <v>44018</v>
      </c>
      <c r="D37" s="39">
        <v>0.04</v>
      </c>
      <c r="E37" s="16">
        <f t="shared" si="11"/>
        <v>122.5</v>
      </c>
      <c r="F37" s="16">
        <v>3062.5</v>
      </c>
      <c r="G37" s="16">
        <f t="shared" si="12"/>
        <v>3185</v>
      </c>
      <c r="H37" s="16">
        <f t="shared" si="13"/>
        <v>76440</v>
      </c>
      <c r="I37" s="25"/>
      <c r="J37" s="16">
        <f t="shared" si="14"/>
        <v>4776.4799999999996</v>
      </c>
      <c r="K37" s="25"/>
      <c r="L37" s="16">
        <f t="shared" si="15"/>
        <v>1117.08</v>
      </c>
      <c r="M37" s="25"/>
      <c r="N37" s="16">
        <f t="shared" si="16"/>
        <v>7000</v>
      </c>
      <c r="O37" s="25"/>
      <c r="P37" s="35">
        <v>7.0000000000000007E-2</v>
      </c>
      <c r="Q37" s="16">
        <f t="shared" si="17"/>
        <v>5350.8</v>
      </c>
      <c r="R37" s="16">
        <f t="shared" si="18"/>
        <v>445.9</v>
      </c>
      <c r="T37" s="17">
        <f t="shared" ref="T37" si="21">IF(H37&gt;0,50,0)</f>
        <v>50</v>
      </c>
      <c r="U37" s="16">
        <f t="shared" si="19"/>
        <v>25</v>
      </c>
      <c r="V37" s="16">
        <f t="shared" si="20"/>
        <v>600</v>
      </c>
    </row>
    <row r="38" spans="1:22" x14ac:dyDescent="0.3">
      <c r="A38" t="s">
        <v>159</v>
      </c>
      <c r="B38" t="s">
        <v>160</v>
      </c>
      <c r="C38" s="15">
        <v>44511</v>
      </c>
      <c r="D38" s="39">
        <v>0.04</v>
      </c>
      <c r="E38" s="16">
        <f t="shared" si="11"/>
        <v>86.67</v>
      </c>
      <c r="F38" s="16">
        <v>2166.67</v>
      </c>
      <c r="G38" s="16">
        <f t="shared" si="12"/>
        <v>2253.34</v>
      </c>
      <c r="H38" s="16">
        <f t="shared" si="13"/>
        <v>54080.160000000003</v>
      </c>
      <c r="I38" s="25"/>
      <c r="J38" s="16">
        <f t="shared" si="14"/>
        <v>3390.17</v>
      </c>
      <c r="K38" s="25"/>
      <c r="L38" s="16">
        <f t="shared" si="15"/>
        <v>792.86</v>
      </c>
      <c r="M38" s="25"/>
      <c r="N38" s="16">
        <f t="shared" si="16"/>
        <v>7000</v>
      </c>
      <c r="O38" s="25"/>
      <c r="P38" s="35">
        <v>7.0000000000000007E-2</v>
      </c>
      <c r="Q38" s="16">
        <f t="shared" si="17"/>
        <v>3785.61</v>
      </c>
      <c r="R38" s="16">
        <f t="shared" si="18"/>
        <v>315.47000000000003</v>
      </c>
      <c r="T38" s="17">
        <f>IF(H38&gt;0,50,0)</f>
        <v>50</v>
      </c>
      <c r="U38" s="16">
        <f t="shared" si="19"/>
        <v>25</v>
      </c>
      <c r="V38" s="16">
        <f t="shared" si="20"/>
        <v>600</v>
      </c>
    </row>
    <row r="39" spans="1:22" x14ac:dyDescent="0.3">
      <c r="A39" t="s">
        <v>161</v>
      </c>
      <c r="B39" t="s">
        <v>162</v>
      </c>
      <c r="C39" s="15">
        <v>43192</v>
      </c>
      <c r="D39" s="39">
        <v>0.04</v>
      </c>
      <c r="E39" s="16">
        <f t="shared" si="11"/>
        <v>59.41</v>
      </c>
      <c r="F39" s="16">
        <v>1485.32</v>
      </c>
      <c r="G39" s="16">
        <f t="shared" si="12"/>
        <v>1544.73</v>
      </c>
      <c r="H39" s="16">
        <f>ROUNDUP(G39*24,2)</f>
        <v>37073.519999999997</v>
      </c>
      <c r="I39" s="25"/>
      <c r="J39" s="16">
        <f t="shared" si="14"/>
        <v>2335.7600000000002</v>
      </c>
      <c r="K39" s="25"/>
      <c r="L39" s="16">
        <f t="shared" si="15"/>
        <v>546.27</v>
      </c>
      <c r="M39" s="25"/>
      <c r="N39" s="16">
        <f t="shared" si="16"/>
        <v>7000</v>
      </c>
      <c r="O39" s="25"/>
      <c r="T39" s="17">
        <f t="shared" ref="T39" si="22">IF(H39&gt;0,50,0)</f>
        <v>50</v>
      </c>
      <c r="U39" s="16">
        <f t="shared" si="19"/>
        <v>25</v>
      </c>
      <c r="V39" s="16">
        <f t="shared" si="20"/>
        <v>600</v>
      </c>
    </row>
    <row r="40" spans="1:22" x14ac:dyDescent="0.3">
      <c r="C40" s="15"/>
      <c r="F40" s="16"/>
      <c r="G40" s="16"/>
      <c r="H40" s="16">
        <f>SUM(H33:H39)</f>
        <v>498251.52000000002</v>
      </c>
      <c r="I40" s="25"/>
      <c r="J40" s="16">
        <f>SUM(J33:J39)</f>
        <v>31178.030000000006</v>
      </c>
      <c r="K40" s="25"/>
      <c r="L40" s="16">
        <f>SUM(L33:L39)</f>
        <v>7291.6299999999992</v>
      </c>
      <c r="M40" s="25"/>
      <c r="N40" s="16">
        <f>SUM(N33:N39)</f>
        <v>49000</v>
      </c>
      <c r="O40" s="25"/>
      <c r="Q40" s="16">
        <f>SUM(Q33:Q39)</f>
        <v>35962.189999999995</v>
      </c>
      <c r="R40" s="16"/>
      <c r="T40" s="17"/>
      <c r="U40" s="16"/>
      <c r="V40" s="16">
        <f>SUM(V33:V39)</f>
        <v>4620</v>
      </c>
    </row>
    <row r="42" spans="1:22" x14ac:dyDescent="0.3">
      <c r="A42" s="18" t="s">
        <v>190</v>
      </c>
    </row>
    <row r="43" spans="1:22" x14ac:dyDescent="0.3">
      <c r="A43" s="36" t="s">
        <v>191</v>
      </c>
      <c r="B43" s="16">
        <f>SUM(H33:H36)+H38+SUM(V33:V36)+V38</f>
        <v>388158</v>
      </c>
    </row>
    <row r="44" spans="1:22" x14ac:dyDescent="0.3">
      <c r="A44" s="36" t="s">
        <v>192</v>
      </c>
      <c r="B44" s="16">
        <f>SUM(J33:J36)+J38+SUM(L33:L36)+L38+SUM(N33:N36)+N38</f>
        <v>64694.07</v>
      </c>
    </row>
    <row r="45" spans="1:22" x14ac:dyDescent="0.3">
      <c r="A45" s="36" t="s">
        <v>193</v>
      </c>
      <c r="B45" s="16">
        <f>SUM(Q33:Q36)+Q38</f>
        <v>30611.39</v>
      </c>
    </row>
    <row r="46" spans="1:22" x14ac:dyDescent="0.3">
      <c r="A46" s="36" t="s">
        <v>194</v>
      </c>
      <c r="B46" s="16">
        <f>H39+J39+L39+N39+R39+V39</f>
        <v>47555.549999999996</v>
      </c>
    </row>
    <row r="47" spans="1:22" ht="15" thickBot="1" x14ac:dyDescent="0.35">
      <c r="A47" s="36" t="s">
        <v>195</v>
      </c>
      <c r="B47" s="38">
        <f>H37+J37+L37+N37+Q37+V37</f>
        <v>95284.36</v>
      </c>
    </row>
    <row r="48" spans="1:22" x14ac:dyDescent="0.3">
      <c r="A48" s="37" t="s">
        <v>196</v>
      </c>
      <c r="B48" s="16">
        <f>SUM(B43:B47)</f>
        <v>626303.37</v>
      </c>
    </row>
    <row r="52" spans="1:23" ht="15" thickBot="1" x14ac:dyDescent="0.35">
      <c r="A52" s="40"/>
      <c r="B52" s="3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</row>
    <row r="56" spans="1:23" x14ac:dyDescent="0.3">
      <c r="A56" s="18" t="s">
        <v>167</v>
      </c>
      <c r="B56" s="18" t="s">
        <v>163</v>
      </c>
      <c r="C56" s="18" t="s">
        <v>164</v>
      </c>
      <c r="D56" s="18" t="s">
        <v>165</v>
      </c>
      <c r="E56" s="18" t="s">
        <v>172</v>
      </c>
      <c r="F56" s="18" t="s">
        <v>169</v>
      </c>
      <c r="G56" s="24" t="s">
        <v>170</v>
      </c>
      <c r="H56" s="18" t="s">
        <v>173</v>
      </c>
      <c r="I56" s="25"/>
      <c r="J56" s="133" t="s">
        <v>174</v>
      </c>
      <c r="K56" s="134"/>
      <c r="L56" s="134"/>
      <c r="M56" s="25"/>
      <c r="N56" s="18" t="s">
        <v>175</v>
      </c>
      <c r="O56" s="19"/>
      <c r="P56" s="132" t="s">
        <v>176</v>
      </c>
      <c r="Q56" s="132"/>
      <c r="R56" s="134"/>
      <c r="S56" s="19"/>
      <c r="T56" s="132" t="s">
        <v>177</v>
      </c>
      <c r="U56" s="131"/>
      <c r="V56" s="131"/>
    </row>
    <row r="57" spans="1:23" x14ac:dyDescent="0.3">
      <c r="A57" s="21" t="s">
        <v>168</v>
      </c>
      <c r="B57" s="19"/>
      <c r="C57" s="20"/>
      <c r="D57" s="20" t="s">
        <v>166</v>
      </c>
      <c r="E57" s="20" t="s">
        <v>189</v>
      </c>
      <c r="F57" s="22">
        <v>45444</v>
      </c>
      <c r="G57" s="23" t="s">
        <v>171</v>
      </c>
      <c r="H57" s="19"/>
      <c r="I57" s="25"/>
      <c r="J57" s="27" t="s">
        <v>178</v>
      </c>
      <c r="K57" s="19"/>
      <c r="L57" s="27" t="s">
        <v>178</v>
      </c>
      <c r="M57" s="25"/>
      <c r="N57" s="27" t="s">
        <v>179</v>
      </c>
      <c r="O57" s="19"/>
      <c r="P57" s="132" t="s">
        <v>180</v>
      </c>
      <c r="Q57" s="132"/>
      <c r="R57" s="26" t="s">
        <v>181</v>
      </c>
      <c r="S57" s="19"/>
      <c r="T57" s="132" t="s">
        <v>182</v>
      </c>
      <c r="U57" s="132"/>
      <c r="V57" s="134"/>
    </row>
    <row r="58" spans="1:23" x14ac:dyDescent="0.3">
      <c r="A58" s="19"/>
      <c r="B58" s="19"/>
      <c r="C58" s="19"/>
      <c r="D58" s="19"/>
      <c r="E58" s="19"/>
      <c r="F58" s="19"/>
      <c r="G58" s="23" t="s">
        <v>172</v>
      </c>
      <c r="H58" s="19"/>
      <c r="I58" s="25"/>
      <c r="J58" s="28" t="s">
        <v>183</v>
      </c>
      <c r="K58" s="19"/>
      <c r="L58" s="28" t="s">
        <v>184</v>
      </c>
      <c r="M58" s="25"/>
      <c r="N58" s="26" t="s">
        <v>185</v>
      </c>
      <c r="O58" s="19"/>
      <c r="P58" s="132" t="s">
        <v>186</v>
      </c>
      <c r="Q58" s="132"/>
      <c r="R58" s="26" t="s">
        <v>186</v>
      </c>
      <c r="S58" s="19"/>
      <c r="T58" s="26" t="s">
        <v>187</v>
      </c>
      <c r="U58" s="26" t="s">
        <v>170</v>
      </c>
      <c r="V58" s="26" t="s">
        <v>188</v>
      </c>
    </row>
    <row r="59" spans="1:23" x14ac:dyDescent="0.3">
      <c r="A59" s="19"/>
      <c r="B59" s="19"/>
      <c r="C59" s="19"/>
      <c r="D59" s="19"/>
      <c r="E59" s="19"/>
      <c r="F59" s="19"/>
      <c r="G59" s="19"/>
      <c r="H59" s="19"/>
      <c r="I59" s="25"/>
      <c r="J59" s="29">
        <v>6.2E-2</v>
      </c>
      <c r="K59" s="19"/>
      <c r="L59" s="29">
        <v>1.4500000000000001E-2</v>
      </c>
      <c r="M59" s="25"/>
      <c r="N59" s="30">
        <v>5.3999999999999999E-2</v>
      </c>
      <c r="O59" s="19"/>
      <c r="P59" s="25"/>
      <c r="Q59" s="25"/>
      <c r="R59" s="25"/>
      <c r="S59" s="19"/>
    </row>
    <row r="60" spans="1:23" ht="15" thickBot="1" x14ac:dyDescent="0.35">
      <c r="A60" s="19"/>
      <c r="B60" s="19"/>
      <c r="C60" s="19"/>
      <c r="D60" s="19"/>
      <c r="E60" s="19"/>
      <c r="F60" s="19"/>
      <c r="G60" s="19"/>
      <c r="H60" s="19"/>
      <c r="I60" s="25"/>
      <c r="J60" s="31">
        <v>9114</v>
      </c>
      <c r="K60" s="19"/>
      <c r="L60" s="32"/>
      <c r="M60" s="25"/>
      <c r="N60" s="33">
        <v>7000</v>
      </c>
      <c r="O60" s="19"/>
      <c r="P60" s="34" t="s">
        <v>166</v>
      </c>
      <c r="Q60" s="34" t="s">
        <v>189</v>
      </c>
      <c r="R60" s="34" t="s">
        <v>189</v>
      </c>
      <c r="S60" s="19"/>
    </row>
    <row r="61" spans="1:23" x14ac:dyDescent="0.3">
      <c r="A61" t="s">
        <v>150</v>
      </c>
      <c r="B61" t="s">
        <v>151</v>
      </c>
      <c r="C61" s="15">
        <v>44866</v>
      </c>
      <c r="D61" s="39"/>
      <c r="E61" s="16">
        <f>ROUND(F61*D61,2)</f>
        <v>0</v>
      </c>
      <c r="F61" s="16">
        <v>2708.34</v>
      </c>
      <c r="G61" s="16">
        <f>F61+E61</f>
        <v>2708.34</v>
      </c>
      <c r="H61" s="16">
        <f>ROUNDUP(G61*24,2)</f>
        <v>65000.160000000003</v>
      </c>
      <c r="I61" s="25"/>
      <c r="J61" s="16">
        <f>IF(ROUND((H61+V61)*$J$5,2)&lt;$J$6,ROUND((H61+V61)*$J$5,2),$J$6)</f>
        <v>4067.21</v>
      </c>
      <c r="K61" s="25"/>
      <c r="L61" s="16">
        <f>ROUND((H61+V61)*$L$5,2)</f>
        <v>951.2</v>
      </c>
      <c r="M61" s="25"/>
      <c r="N61" s="16">
        <f>IF((H61+V61)&gt;$N$6,$N$6,H61*$N$5)</f>
        <v>7000</v>
      </c>
      <c r="O61" s="25"/>
      <c r="P61" s="35">
        <v>7.0000000000000007E-2</v>
      </c>
      <c r="Q61" s="16">
        <f>ROUND(H61*P61,2)</f>
        <v>4550.01</v>
      </c>
      <c r="R61" s="16">
        <f>ROUND(Q61/12,2)</f>
        <v>379.17</v>
      </c>
      <c r="T61" s="17">
        <f>IF(H61&gt;0,50,0)</f>
        <v>50</v>
      </c>
      <c r="U61" s="16">
        <f>T61/2</f>
        <v>25</v>
      </c>
      <c r="V61" s="16">
        <f>U61*24</f>
        <v>600</v>
      </c>
    </row>
    <row r="62" spans="1:23" x14ac:dyDescent="0.3">
      <c r="A62" t="s">
        <v>152</v>
      </c>
      <c r="B62" t="s">
        <v>153</v>
      </c>
      <c r="C62" s="15">
        <v>45055</v>
      </c>
      <c r="D62" s="39"/>
      <c r="E62" s="16">
        <f t="shared" ref="E62:E67" si="23">ROUND(F62*D62,2)</f>
        <v>0</v>
      </c>
      <c r="F62" s="16">
        <v>2083.34</v>
      </c>
      <c r="G62" s="16">
        <f t="shared" ref="G62:G67" si="24">F62+E62</f>
        <v>2083.34</v>
      </c>
      <c r="H62" s="16">
        <f t="shared" ref="H62:H66" si="25">ROUNDUP(G62*24,2)</f>
        <v>50000.160000000003</v>
      </c>
      <c r="I62" s="25"/>
      <c r="J62" s="16">
        <f t="shared" ref="J62:J67" si="26">IF(ROUND((H62+V62)*$J$5,2)&lt;$J$6,ROUND((H62+V62)*$J$5,2),$J$6)</f>
        <v>3137.21</v>
      </c>
      <c r="K62" s="25"/>
      <c r="L62" s="16">
        <f t="shared" ref="L62:L67" si="27">ROUND((H62+V62)*$L$5,2)</f>
        <v>733.7</v>
      </c>
      <c r="M62" s="25"/>
      <c r="N62" s="16">
        <f t="shared" ref="N62:N67" si="28">IF((H62+V62)&gt;$N$6,$N$6,H62*$N$5)</f>
        <v>7000</v>
      </c>
      <c r="O62" s="25"/>
      <c r="P62" s="35">
        <v>7.0000000000000007E-2</v>
      </c>
      <c r="Q62" s="16">
        <f t="shared" ref="Q62:Q66" si="29">ROUND(H62*P62,2)</f>
        <v>3500.01</v>
      </c>
      <c r="R62" s="16">
        <f t="shared" ref="R62:R66" si="30">ROUND(Q62/12,2)</f>
        <v>291.67</v>
      </c>
      <c r="T62" s="17">
        <f>IF(H62&gt;0,50,0)</f>
        <v>50</v>
      </c>
      <c r="U62" s="16">
        <f t="shared" ref="U62:U67" si="31">T62/2</f>
        <v>25</v>
      </c>
      <c r="V62" s="16">
        <f t="shared" ref="V62:V63" si="32">U62*24</f>
        <v>600</v>
      </c>
    </row>
    <row r="63" spans="1:23" x14ac:dyDescent="0.3">
      <c r="A63" t="s">
        <v>154</v>
      </c>
      <c r="B63" t="s">
        <v>155</v>
      </c>
      <c r="C63" s="15">
        <v>44835</v>
      </c>
      <c r="D63" s="39"/>
      <c r="E63" s="16">
        <f t="shared" si="23"/>
        <v>0</v>
      </c>
      <c r="F63" s="16">
        <v>3541.67</v>
      </c>
      <c r="G63" s="16">
        <f t="shared" si="24"/>
        <v>3541.67</v>
      </c>
      <c r="H63" s="16">
        <f t="shared" si="25"/>
        <v>85000.08</v>
      </c>
      <c r="I63" s="25"/>
      <c r="J63" s="16">
        <f t="shared" si="26"/>
        <v>5307.2</v>
      </c>
      <c r="K63" s="25"/>
      <c r="L63" s="16">
        <f t="shared" si="27"/>
        <v>1241.2</v>
      </c>
      <c r="M63" s="25"/>
      <c r="N63" s="16">
        <f t="shared" si="28"/>
        <v>7000</v>
      </c>
      <c r="O63" s="25"/>
      <c r="P63" s="35">
        <v>7.0000000000000007E-2</v>
      </c>
      <c r="Q63" s="16">
        <f t="shared" si="29"/>
        <v>5950.01</v>
      </c>
      <c r="R63" s="16">
        <f t="shared" si="30"/>
        <v>495.83</v>
      </c>
      <c r="T63" s="17">
        <f>IF(H63&gt;0,50,0)</f>
        <v>50</v>
      </c>
      <c r="U63" s="16">
        <f t="shared" si="31"/>
        <v>25</v>
      </c>
      <c r="V63" s="16">
        <f t="shared" si="32"/>
        <v>600</v>
      </c>
    </row>
    <row r="64" spans="1:23" x14ac:dyDescent="0.3">
      <c r="A64" t="s">
        <v>156</v>
      </c>
      <c r="B64" t="s">
        <v>157</v>
      </c>
      <c r="C64" s="15">
        <v>40369</v>
      </c>
      <c r="D64" s="39"/>
      <c r="E64" s="16">
        <f t="shared" si="23"/>
        <v>0</v>
      </c>
      <c r="F64" s="16">
        <v>4914.16</v>
      </c>
      <c r="G64" s="16">
        <f t="shared" si="24"/>
        <v>4914.16</v>
      </c>
      <c r="H64" s="16">
        <f t="shared" si="25"/>
        <v>117939.84</v>
      </c>
      <c r="I64" s="25"/>
      <c r="J64" s="16">
        <f t="shared" si="26"/>
        <v>7375.51</v>
      </c>
      <c r="K64" s="25"/>
      <c r="L64" s="16">
        <f t="shared" si="27"/>
        <v>1724.92</v>
      </c>
      <c r="M64" s="25"/>
      <c r="N64" s="16">
        <f t="shared" si="28"/>
        <v>7000</v>
      </c>
      <c r="O64" s="25"/>
      <c r="P64" s="35">
        <v>0.1</v>
      </c>
      <c r="Q64" s="16">
        <f t="shared" si="29"/>
        <v>11793.98</v>
      </c>
      <c r="R64" s="16">
        <f t="shared" si="30"/>
        <v>982.83</v>
      </c>
      <c r="T64" s="17">
        <f>IF(H64&gt;0,85,0)</f>
        <v>85</v>
      </c>
      <c r="U64" s="16">
        <f t="shared" si="31"/>
        <v>42.5</v>
      </c>
      <c r="V64" s="16">
        <f>U64*24</f>
        <v>1020</v>
      </c>
    </row>
    <row r="65" spans="1:22" x14ac:dyDescent="0.3">
      <c r="A65" t="s">
        <v>116</v>
      </c>
      <c r="B65" t="s">
        <v>158</v>
      </c>
      <c r="C65" s="15">
        <v>44018</v>
      </c>
      <c r="D65" s="39"/>
      <c r="E65" s="16">
        <f t="shared" si="23"/>
        <v>0</v>
      </c>
      <c r="F65" s="16">
        <v>3062.5</v>
      </c>
      <c r="G65" s="16">
        <f t="shared" si="24"/>
        <v>3062.5</v>
      </c>
      <c r="H65" s="16">
        <f t="shared" si="25"/>
        <v>73500</v>
      </c>
      <c r="I65" s="25"/>
      <c r="J65" s="16">
        <f t="shared" si="26"/>
        <v>4594.2</v>
      </c>
      <c r="K65" s="25"/>
      <c r="L65" s="16">
        <f t="shared" si="27"/>
        <v>1074.45</v>
      </c>
      <c r="M65" s="25"/>
      <c r="N65" s="16">
        <f t="shared" si="28"/>
        <v>7000</v>
      </c>
      <c r="O65" s="25"/>
      <c r="P65" s="35">
        <v>7.0000000000000007E-2</v>
      </c>
      <c r="Q65" s="16">
        <f t="shared" si="29"/>
        <v>5145</v>
      </c>
      <c r="R65" s="16">
        <f t="shared" si="30"/>
        <v>428.75</v>
      </c>
      <c r="T65" s="17">
        <f t="shared" ref="T65" si="33">IF(H65&gt;0,50,0)</f>
        <v>50</v>
      </c>
      <c r="U65" s="16">
        <f t="shared" si="31"/>
        <v>25</v>
      </c>
      <c r="V65" s="16">
        <f t="shared" ref="V65:V67" si="34">U65*24</f>
        <v>600</v>
      </c>
    </row>
    <row r="66" spans="1:22" x14ac:dyDescent="0.3">
      <c r="A66" t="s">
        <v>159</v>
      </c>
      <c r="B66" t="s">
        <v>160</v>
      </c>
      <c r="C66" s="15">
        <v>44511</v>
      </c>
      <c r="D66" s="39"/>
      <c r="E66" s="16">
        <f t="shared" si="23"/>
        <v>0</v>
      </c>
      <c r="F66" s="16">
        <v>2166.67</v>
      </c>
      <c r="G66" s="16">
        <f t="shared" si="24"/>
        <v>2166.67</v>
      </c>
      <c r="H66" s="16">
        <f t="shared" si="25"/>
        <v>52000.08</v>
      </c>
      <c r="I66" s="25"/>
      <c r="J66" s="16">
        <f t="shared" si="26"/>
        <v>3261.2</v>
      </c>
      <c r="K66" s="25"/>
      <c r="L66" s="16">
        <f t="shared" si="27"/>
        <v>762.7</v>
      </c>
      <c r="M66" s="25"/>
      <c r="N66" s="16">
        <f t="shared" si="28"/>
        <v>7000</v>
      </c>
      <c r="O66" s="25"/>
      <c r="P66" s="35">
        <v>7.0000000000000007E-2</v>
      </c>
      <c r="Q66" s="16">
        <f t="shared" si="29"/>
        <v>3640.01</v>
      </c>
      <c r="R66" s="16">
        <f t="shared" si="30"/>
        <v>303.33</v>
      </c>
      <c r="T66" s="17">
        <f>IF(H66&gt;0,50,0)</f>
        <v>50</v>
      </c>
      <c r="U66" s="16">
        <f t="shared" si="31"/>
        <v>25</v>
      </c>
      <c r="V66" s="16">
        <f t="shared" si="34"/>
        <v>600</v>
      </c>
    </row>
    <row r="67" spans="1:22" x14ac:dyDescent="0.3">
      <c r="A67" t="s">
        <v>161</v>
      </c>
      <c r="B67" t="s">
        <v>162</v>
      </c>
      <c r="C67" s="15">
        <v>43192</v>
      </c>
      <c r="D67" s="39"/>
      <c r="E67" s="16">
        <f t="shared" si="23"/>
        <v>0</v>
      </c>
      <c r="F67" s="16">
        <v>1485.32</v>
      </c>
      <c r="G67" s="16">
        <f t="shared" si="24"/>
        <v>1485.32</v>
      </c>
      <c r="H67" s="16">
        <f>ROUNDUP(G67*24,2)</f>
        <v>35647.68</v>
      </c>
      <c r="I67" s="25"/>
      <c r="J67" s="16">
        <f t="shared" si="26"/>
        <v>2247.36</v>
      </c>
      <c r="K67" s="25"/>
      <c r="L67" s="16">
        <f t="shared" si="27"/>
        <v>525.59</v>
      </c>
      <c r="M67" s="25"/>
      <c r="N67" s="16">
        <f t="shared" si="28"/>
        <v>7000</v>
      </c>
      <c r="O67" s="25"/>
      <c r="T67" s="17">
        <f t="shared" ref="T67" si="35">IF(H67&gt;0,50,0)</f>
        <v>50</v>
      </c>
      <c r="U67" s="16">
        <f t="shared" si="31"/>
        <v>25</v>
      </c>
      <c r="V67" s="16">
        <f t="shared" si="34"/>
        <v>600</v>
      </c>
    </row>
    <row r="68" spans="1:22" x14ac:dyDescent="0.3">
      <c r="C68" s="15"/>
      <c r="F68" s="16"/>
      <c r="G68" s="16"/>
      <c r="H68" s="16">
        <f>SUM(H61:H67)</f>
        <v>479088</v>
      </c>
      <c r="I68" s="25"/>
      <c r="J68" s="16">
        <f>SUM(J61:J67)</f>
        <v>29989.89</v>
      </c>
      <c r="K68" s="25"/>
      <c r="L68" s="16">
        <f>SUM(L61:L67)</f>
        <v>7013.76</v>
      </c>
      <c r="M68" s="25"/>
      <c r="N68" s="16">
        <f>SUM(N61:N67)</f>
        <v>49000</v>
      </c>
      <c r="O68" s="25"/>
      <c r="Q68" s="16">
        <f>SUM(Q61:Q67)</f>
        <v>34579.020000000004</v>
      </c>
      <c r="R68" s="16"/>
      <c r="T68" s="17"/>
      <c r="U68" s="16"/>
      <c r="V68" s="16">
        <f>SUM(V61:V67)</f>
        <v>4620</v>
      </c>
    </row>
    <row r="70" spans="1:22" x14ac:dyDescent="0.3">
      <c r="A70" s="18" t="s">
        <v>190</v>
      </c>
    </row>
    <row r="71" spans="1:22" x14ac:dyDescent="0.3">
      <c r="A71" s="36" t="s">
        <v>191</v>
      </c>
      <c r="B71" s="16">
        <f>SUM(H61:H64)+H66+SUM(V61:V64)+V66</f>
        <v>373360.32</v>
      </c>
    </row>
    <row r="72" spans="1:22" x14ac:dyDescent="0.3">
      <c r="A72" s="36" t="s">
        <v>192</v>
      </c>
      <c r="B72" s="16">
        <f>SUM(J61:J64)+J66+SUM(L61:L64)+L66+SUM(N61:N64)+N66</f>
        <v>63562.05</v>
      </c>
    </row>
    <row r="73" spans="1:22" x14ac:dyDescent="0.3">
      <c r="A73" s="36" t="s">
        <v>193</v>
      </c>
      <c r="B73" s="16">
        <f>SUM(Q61:Q64)+Q66</f>
        <v>29434.020000000004</v>
      </c>
    </row>
    <row r="74" spans="1:22" x14ac:dyDescent="0.3">
      <c r="A74" s="36" t="s">
        <v>194</v>
      </c>
      <c r="B74" s="16">
        <f>H67+J67+L67+N67+R67+V67</f>
        <v>46020.63</v>
      </c>
    </row>
    <row r="75" spans="1:22" ht="15" thickBot="1" x14ac:dyDescent="0.35">
      <c r="A75" s="36" t="s">
        <v>195</v>
      </c>
      <c r="B75" s="38">
        <f>H65+J65+L65+N65+Q65+V65</f>
        <v>91913.65</v>
      </c>
    </row>
    <row r="76" spans="1:22" x14ac:dyDescent="0.3">
      <c r="A76" s="37" t="s">
        <v>196</v>
      </c>
      <c r="B76" s="16">
        <f>SUM(B71:B75)</f>
        <v>604290.67000000004</v>
      </c>
    </row>
  </sheetData>
  <mergeCells count="19">
    <mergeCell ref="P30:Q30"/>
    <mergeCell ref="J2:L2"/>
    <mergeCell ref="P2:R2"/>
    <mergeCell ref="T2:V2"/>
    <mergeCell ref="P3:Q3"/>
    <mergeCell ref="T3:V3"/>
    <mergeCell ref="P4:Q4"/>
    <mergeCell ref="A1:V1"/>
    <mergeCell ref="J28:L28"/>
    <mergeCell ref="P28:R28"/>
    <mergeCell ref="T28:V28"/>
    <mergeCell ref="P29:Q29"/>
    <mergeCell ref="T29:V29"/>
    <mergeCell ref="P58:Q58"/>
    <mergeCell ref="J56:L56"/>
    <mergeCell ref="P56:R56"/>
    <mergeCell ref="T56:V56"/>
    <mergeCell ref="P57:Q57"/>
    <mergeCell ref="T57:V57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Top Line Rep</vt:lpstr>
      <vt:lpstr>A- Summary Inc_Ex</vt:lpstr>
      <vt:lpstr>B- Marketing &amp; Adverts</vt:lpstr>
      <vt:lpstr>C- Economic Vitality</vt:lpstr>
      <vt:lpstr>D-Placemaking </vt:lpstr>
      <vt:lpstr>DB OSS</vt:lpstr>
      <vt:lpstr>Cash Flow</vt:lpstr>
      <vt:lpstr>ProgramEventSummary</vt:lpstr>
      <vt:lpstr>ProgramEventDetail</vt:lpstr>
      <vt:lpstr>MapFy2024_25</vt:lpstr>
      <vt:lpstr>MapFy2025_26</vt:lpstr>
      <vt:lpstr>Payroll Ref</vt:lpstr>
      <vt:lpstr>'A- Summary Inc_Ex'!Print_Area</vt:lpstr>
      <vt:lpstr>'B- Marketing &amp; Adverts'!Print_Area</vt:lpstr>
      <vt:lpstr>'D-Placemaking '!Print_Area</vt:lpstr>
      <vt:lpstr>ProgramEventSummary!Print_Area</vt:lpstr>
      <vt:lpstr>'Top Line Rep'!Print_Area</vt:lpstr>
      <vt:lpstr>'A- Summary Inc_Ex'!Print_Titles</vt:lpstr>
      <vt:lpstr>'DB OSS'!Print_Titles</vt:lpstr>
      <vt:lpstr>'Top Line Rep'!Print_Titles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Angles</dc:creator>
  <cp:lastModifiedBy>Laura Simon</cp:lastModifiedBy>
  <cp:lastPrinted>2026-09-08T18:39:05Z</cp:lastPrinted>
  <dcterms:created xsi:type="dcterms:W3CDTF">2024-06-12T06:44:42Z</dcterms:created>
  <dcterms:modified xsi:type="dcterms:W3CDTF">2026-09-28T20:28:46Z</dcterms:modified>
</cp:coreProperties>
</file>